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azetak" sheetId="1" state="visible" r:id="rId3"/>
    <sheet name="Prihodi_ekonomska" sheetId="2" state="visible" r:id="rId4"/>
    <sheet name="Rashodi_ekonomska" sheetId="3" state="visible" r:id="rId5"/>
    <sheet name="Po_izvorima" sheetId="4" state="visible" r:id="rId6"/>
    <sheet name="Rashodi_funkcijska" sheetId="5" state="visible" r:id="rId7"/>
    <sheet name="Posebni_dio" sheetId="6" state="visible" r:id="rId8"/>
    <sheet name="Rashodi_detalji" sheetId="7" state="visible" r:id="rId9"/>
    <sheet name="Prihodi_detalji" sheetId="8" state="visible" r:id="rId10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<sst xmlns="http://schemas.openxmlformats.org/spreadsheetml/2006/main" count="1338" uniqueCount="441">
  <si>
    <t xml:space="preserve">REPUBLIKA HRVATSKA</t>
  </si>
  <si>
    <t xml:space="preserve">ZADARSKA ŽUPANIJA</t>
  </si>
  <si>
    <t xml:space="preserve">OSNOVNA ŠKOLA BENKOVAC, Antuna Mihanovića 21b, 23420 Benkovac</t>
  </si>
  <si>
    <t xml:space="preserve">OIB: 73294343358 · RKP: 21238</t>
  </si>
  <si>
    <t xml:space="preserve">SAŽETAK I. IZMJENA I DOPUNA FINANCIJSKOG PLANA OŠ BENKOVAC ZA 2024. GODINU</t>
  </si>
  <si>
    <t xml:space="preserve">Opći dio – A. Račun prihoda i rashoda, B. Račun financiranja, C. Preneseni višak/manjak (u EUR)</t>
  </si>
  <si>
    <t xml:space="preserve">Oznaka</t>
  </si>
  <si>
    <t xml:space="preserve">Opis</t>
  </si>
  <si>
    <t xml:space="preserve">Izvorni plan 2024.</t>
  </si>
  <si>
    <t xml:space="preserve">Povećanje/ smanjenje</t>
  </si>
  <si>
    <t xml:space="preserve">I. rebalans 2024.</t>
  </si>
  <si>
    <t xml:space="preserve">Indeks (rebalans / plan)</t>
  </si>
  <si>
    <t xml:space="preserve">A. RAČUN PRIHODA I RASHODA</t>
  </si>
  <si>
    <t xml:space="preserve">6</t>
  </si>
  <si>
    <t xml:space="preserve">Prihodi poslovanja</t>
  </si>
  <si>
    <t xml:space="preserve">7</t>
  </si>
  <si>
    <t xml:space="preserve">Prihodi od prodaje nefinancijske imovine</t>
  </si>
  <si>
    <t xml:space="preserve">-</t>
  </si>
  <si>
    <t xml:space="preserve">UKUPNI PRIHODI</t>
  </si>
  <si>
    <t xml:space="preserve">3</t>
  </si>
  <si>
    <t xml:space="preserve">Rashodi poslovanja</t>
  </si>
  <si>
    <t xml:space="preserve">4</t>
  </si>
  <si>
    <t xml:space="preserve">Rashodi za nabavu nefinancijske imovine</t>
  </si>
  <si>
    <t xml:space="preserve">UKUPNI RASHODI</t>
  </si>
  <si>
    <t xml:space="preserve">RAZLIKA – VIŠAK / MANJAK</t>
  </si>
  <si>
    <t xml:space="preserve">B. RAČUN FINANCIRANJA</t>
  </si>
  <si>
    <t xml:space="preserve">8</t>
  </si>
  <si>
    <t xml:space="preserve">Primici od financijske imovine i zaduživanja</t>
  </si>
  <si>
    <t xml:space="preserve">5</t>
  </si>
  <si>
    <t xml:space="preserve">Izdaci za financijsku imovinu i otplate zajmova</t>
  </si>
  <si>
    <t xml:space="preserve">NETO FINANCIRANJE</t>
  </si>
  <si>
    <t xml:space="preserve">C. RASPOLOŽIVA SREDSTVA IZ PRETHODNIH GODINA</t>
  </si>
  <si>
    <t xml:space="preserve">9</t>
  </si>
  <si>
    <t xml:space="preserve">Ukupan donos viška/manjka iz prethodnih godina – dio koji će se rasporediti</t>
  </si>
  <si>
    <t xml:space="preserve">VIŠAK/MANJAK + NETO FINANCIRANJE + PRENESENI REZULTAT</t>
  </si>
  <si>
    <t xml:space="preserve">Kontrola: ukupni prihodi (po izvorima) − ukupni rashodi (po izvorima)</t>
  </si>
  <si>
    <t xml:space="preserve">Kontrola: posebni dio − rashodi ekonomska</t>
  </si>
  <si>
    <t xml:space="preserve">Napomene:</t>
  </si>
  <si>
    <t xml:space="preserve">– Podaci su preuzeti iz financijskog plana 2024.–2026. i Prijedloga I. rebalansa 2024. iz sustava riznice Zadarske županije.</t>
  </si>
  <si>
    <t xml:space="preserve">– U PDF-u rebalansa (rashodi) stupac "plan prije rebalansa" zbraja se na 2.922.119,56 EUR jer izostavlja dvije stavke izvornog plana iz izvora 42034 (32224 Namirnice 4.000,00 i 32322 Usluge održavanja opreme 1.500,00). Ovdje su uključene, pa izvorni plan iznosi 2.927.619,56 EUR.</t>
  </si>
  <si>
    <t xml:space="preserve">– Promjene konta prihoda kod Inkluzije (63311343101 → 63911; 63811343202 → 63931) i ukidanje izvora 195062 iskazane su kao smanjenje na starom i povećanje na novom kontu.</t>
  </si>
  <si>
    <t xml:space="preserve">– Projekcije za 2025. i 2026. ovdje se ne prikazuju; u PDF-u rebalansa projekcije prihoda (3.371.665,73 / 3.455.957,38) i rashoda (3.258.193,77 / 3.339.648,67) nisu usklađene.</t>
  </si>
  <si>
    <t xml:space="preserve">– Plavi brojevi u listovima *_detalji su unosi; svi ostali iznosi su formule (SUMIFS) nad tim listovima. Zeleno = poveznica na drugi list.</t>
  </si>
  <si>
    <t xml:space="preserve">– Kontrolni redovi moraju iskazivati 0 (nulu).</t>
  </si>
  <si>
    <t xml:space="preserve">Predsjednik Školskog odbora:</t>
  </si>
  <si>
    <t xml:space="preserve">Ravnatelj:</t>
  </si>
  <si>
    <t xml:space="preserve">Vedran Utković, prof.</t>
  </si>
  <si>
    <t xml:space="preserve">Tonći Kuman, prof.</t>
  </si>
  <si>
    <t xml:space="preserve">OPĆI DIO – PRIHODI I PRIMICI PREMA EKONOMSKOJ KLASIFIKACIJI</t>
  </si>
  <si>
    <t xml:space="preserve">I. izmjene i dopune financijskog plana za 2024. godinu (u EUR)</t>
  </si>
  <si>
    <t xml:space="preserve">Konto</t>
  </si>
  <si>
    <t xml:space="preserve">Naziv</t>
  </si>
  <si>
    <t xml:space="preserve">63</t>
  </si>
  <si>
    <t xml:space="preserve">Pomoći iz inozemstva i od subjekata unutar općeg proračuna</t>
  </si>
  <si>
    <t xml:space="preserve">633</t>
  </si>
  <si>
    <t xml:space="preserve">Pomoći proračunu iz drugih proračuna</t>
  </si>
  <si>
    <t xml:space="preserve">6331</t>
  </si>
  <si>
    <t xml:space="preserve">Tekuće pomoći proračunu iz drugih proračuna</t>
  </si>
  <si>
    <t xml:space="preserve">636</t>
  </si>
  <si>
    <t xml:space="preserve">Pomoći proračunskim korisnicima iz proračuna koji im nije nadležan</t>
  </si>
  <si>
    <t xml:space="preserve">6361</t>
  </si>
  <si>
    <t xml:space="preserve">Tekuće pomoći proračunskim korisnicima iz proračuna koji im nije nadležan</t>
  </si>
  <si>
    <t xml:space="preserve">6362</t>
  </si>
  <si>
    <t xml:space="preserve">Kapitalne pomoći proračunskim korisnicima iz proračuna koji im nije nadležan</t>
  </si>
  <si>
    <t xml:space="preserve">638</t>
  </si>
  <si>
    <t xml:space="preserve">Pomoći temeljem prijenosa EU sredstava</t>
  </si>
  <si>
    <t xml:space="preserve">6381</t>
  </si>
  <si>
    <t xml:space="preserve">Tekuće pomoći temeljem prijenosa EU sredstava</t>
  </si>
  <si>
    <t xml:space="preserve">639</t>
  </si>
  <si>
    <t xml:space="preserve">Prijenosi između proračunskih korisnika istog proračuna</t>
  </si>
  <si>
    <t xml:space="preserve">6391</t>
  </si>
  <si>
    <t xml:space="preserve">Tekući prijenosi između proračunskih korisnika istog proračuna</t>
  </si>
  <si>
    <t xml:space="preserve">6393</t>
  </si>
  <si>
    <t xml:space="preserve">Tekući prijenosi između PK istog proračuna temeljem prijenosa EU sredstava</t>
  </si>
  <si>
    <t xml:space="preserve">65</t>
  </si>
  <si>
    <t xml:space="preserve">Prihodi od upravnih i administrativnih pristojbi, pristojbi po posebnim propisima i naknada</t>
  </si>
  <si>
    <t xml:space="preserve">652</t>
  </si>
  <si>
    <t xml:space="preserve">Prihodi po posebnim propisima</t>
  </si>
  <si>
    <t xml:space="preserve">6526</t>
  </si>
  <si>
    <t xml:space="preserve">Ostali nespomenuti prihodi</t>
  </si>
  <si>
    <t xml:space="preserve">66</t>
  </si>
  <si>
    <t xml:space="preserve">Prihodi od prodaje proizvoda i robe te pruženih usluga i prihodi od donacija</t>
  </si>
  <si>
    <t xml:space="preserve">661</t>
  </si>
  <si>
    <t xml:space="preserve">Prihodi od prodaje proizvoda i robe te pruženih usluga</t>
  </si>
  <si>
    <t xml:space="preserve">6615</t>
  </si>
  <si>
    <t xml:space="preserve">Prihodi od pruženih usluga</t>
  </si>
  <si>
    <t xml:space="preserve">67</t>
  </si>
  <si>
    <t xml:space="preserve">Prihodi iz nadležnog proračuna i od HZZO-a temeljem ugovornih obveza</t>
  </si>
  <si>
    <t xml:space="preserve">671</t>
  </si>
  <si>
    <t xml:space="preserve">Prihodi iz nadležnog proračuna za financiranje redovne djelatnosti proračunskih korisnika</t>
  </si>
  <si>
    <t xml:space="preserve">6711</t>
  </si>
  <si>
    <t xml:space="preserve">Prihodi iz nadležnog proračuna za financiranje rashoda poslovanja</t>
  </si>
  <si>
    <t xml:space="preserve">Vlastiti izvori</t>
  </si>
  <si>
    <t xml:space="preserve">92</t>
  </si>
  <si>
    <t xml:space="preserve">Rezultat poslovanja</t>
  </si>
  <si>
    <t xml:space="preserve">922</t>
  </si>
  <si>
    <t xml:space="preserve">Višak/manjak prihoda</t>
  </si>
  <si>
    <t xml:space="preserve">9221</t>
  </si>
  <si>
    <t xml:space="preserve">Višak prihoda</t>
  </si>
  <si>
    <t xml:space="preserve">OPĆI DIO – RASHODI I IZDACI PREMA EKONOMSKOJ KLASIFIKACIJI</t>
  </si>
  <si>
    <t xml:space="preserve">31</t>
  </si>
  <si>
    <t xml:space="preserve">Rashodi za zaposlene</t>
  </si>
  <si>
    <t xml:space="preserve">311</t>
  </si>
  <si>
    <t xml:space="preserve">Plaće (bruto)</t>
  </si>
  <si>
    <t xml:space="preserve">3111</t>
  </si>
  <si>
    <t xml:space="preserve">Plaće za redovan rad</t>
  </si>
  <si>
    <t xml:space="preserve">312</t>
  </si>
  <si>
    <t xml:space="preserve">Ostali rashodi za zaposlene</t>
  </si>
  <si>
    <t xml:space="preserve">3121</t>
  </si>
  <si>
    <t xml:space="preserve">313</t>
  </si>
  <si>
    <t xml:space="preserve">Doprinosi na plaće</t>
  </si>
  <si>
    <t xml:space="preserve">3132</t>
  </si>
  <si>
    <t xml:space="preserve">Doprinosi za obvezno zdravstveno osiguranje</t>
  </si>
  <si>
    <t xml:space="preserve">32</t>
  </si>
  <si>
    <t xml:space="preserve">Materijalni rashodi</t>
  </si>
  <si>
    <t xml:space="preserve">321</t>
  </si>
  <si>
    <t xml:space="preserve">Naknade troškova zaposlenima</t>
  </si>
  <si>
    <t xml:space="preserve">3211</t>
  </si>
  <si>
    <t xml:space="preserve">Službena putovanja</t>
  </si>
  <si>
    <t xml:space="preserve">3212</t>
  </si>
  <si>
    <t xml:space="preserve">Naknade za prijevoz, rad na terenu i odvojeni život</t>
  </si>
  <si>
    <t xml:space="preserve">3213</t>
  </si>
  <si>
    <t xml:space="preserve">Stručno usavršavanje zaposlenika</t>
  </si>
  <si>
    <t xml:space="preserve">3214</t>
  </si>
  <si>
    <t xml:space="preserve">Ostale naknade troškova zaposlenima</t>
  </si>
  <si>
    <t xml:space="preserve">322</t>
  </si>
  <si>
    <t xml:space="preserve">Rashodi za materijal i energiju</t>
  </si>
  <si>
    <t xml:space="preserve">3221</t>
  </si>
  <si>
    <t xml:space="preserve">Uredski materijal i ostali materijalni rashodi</t>
  </si>
  <si>
    <t xml:space="preserve">3222</t>
  </si>
  <si>
    <t xml:space="preserve">Materijal i sirovine</t>
  </si>
  <si>
    <t xml:space="preserve">3223</t>
  </si>
  <si>
    <t xml:space="preserve">Energija</t>
  </si>
  <si>
    <t xml:space="preserve">3224</t>
  </si>
  <si>
    <t xml:space="preserve">Materijal i dijelovi za tekuće i investicijsko održavanje</t>
  </si>
  <si>
    <t xml:space="preserve">3225</t>
  </si>
  <si>
    <t xml:space="preserve">Sitni inventar i auto gume</t>
  </si>
  <si>
    <t xml:space="preserve">3227</t>
  </si>
  <si>
    <t xml:space="preserve">Službena, radna i zaštitna odjeća i obuća</t>
  </si>
  <si>
    <t xml:space="preserve">323</t>
  </si>
  <si>
    <t xml:space="preserve">Rashodi za usluge</t>
  </si>
  <si>
    <t xml:space="preserve">3231</t>
  </si>
  <si>
    <t xml:space="preserve">Usluge telefona, pošte i prijevoza</t>
  </si>
  <si>
    <t xml:space="preserve">3232</t>
  </si>
  <si>
    <t xml:space="preserve">Usluge tekućeg i investicijskog održavanja</t>
  </si>
  <si>
    <t xml:space="preserve">3234</t>
  </si>
  <si>
    <t xml:space="preserve">Komunalne usluge</t>
  </si>
  <si>
    <t xml:space="preserve">3235</t>
  </si>
  <si>
    <t xml:space="preserve">Zakupnine i najamnine</t>
  </si>
  <si>
    <t xml:space="preserve">3236</t>
  </si>
  <si>
    <t xml:space="preserve">Zdravstvene i veterinarske usluge</t>
  </si>
  <si>
    <t xml:space="preserve">3237</t>
  </si>
  <si>
    <t xml:space="preserve">Intelektualne i osobne usluge</t>
  </si>
  <si>
    <t xml:space="preserve">3238</t>
  </si>
  <si>
    <t xml:space="preserve">Računalne usluge</t>
  </si>
  <si>
    <t xml:space="preserve">3239</t>
  </si>
  <si>
    <t xml:space="preserve">Ostale usluge</t>
  </si>
  <si>
    <t xml:space="preserve">329</t>
  </si>
  <si>
    <t xml:space="preserve">Ostali nespomenuti rashodi poslovanja</t>
  </si>
  <si>
    <t xml:space="preserve">3292</t>
  </si>
  <si>
    <t xml:space="preserve">Premije osiguranja</t>
  </si>
  <si>
    <t xml:space="preserve">3293</t>
  </si>
  <si>
    <t xml:space="preserve">Reprezentacija</t>
  </si>
  <si>
    <t xml:space="preserve">3294</t>
  </si>
  <si>
    <t xml:space="preserve">Članarine i norme</t>
  </si>
  <si>
    <t xml:space="preserve">3295</t>
  </si>
  <si>
    <t xml:space="preserve">Pristojbe i naknade</t>
  </si>
  <si>
    <t xml:space="preserve">34</t>
  </si>
  <si>
    <t xml:space="preserve">Financijski rashodi</t>
  </si>
  <si>
    <t xml:space="preserve">343</t>
  </si>
  <si>
    <t xml:space="preserve">Ostali financijski rashodi</t>
  </si>
  <si>
    <t xml:space="preserve">3431</t>
  </si>
  <si>
    <t xml:space="preserve">Bankarske usluge i usluge platnog prometa</t>
  </si>
  <si>
    <t xml:space="preserve">3433</t>
  </si>
  <si>
    <t xml:space="preserve">Zatezne kamate</t>
  </si>
  <si>
    <t xml:space="preserve">37</t>
  </si>
  <si>
    <t xml:space="preserve">Naknade građanima i kućanstvima na temelju osiguranja i druge naknade</t>
  </si>
  <si>
    <t xml:space="preserve">372</t>
  </si>
  <si>
    <t xml:space="preserve">Ostale naknade građanima i kućanstvima iz proračuna</t>
  </si>
  <si>
    <t xml:space="preserve">3722</t>
  </si>
  <si>
    <t xml:space="preserve">Naknade građanima i kućanstvima u naravi</t>
  </si>
  <si>
    <t xml:space="preserve">38</t>
  </si>
  <si>
    <t xml:space="preserve">Ostali rashodi</t>
  </si>
  <si>
    <t xml:space="preserve">381</t>
  </si>
  <si>
    <t xml:space="preserve">Tekuće donacije</t>
  </si>
  <si>
    <t xml:space="preserve">3812</t>
  </si>
  <si>
    <t xml:space="preserve">Tekuće donacije u naravi</t>
  </si>
  <si>
    <t xml:space="preserve">42</t>
  </si>
  <si>
    <t xml:space="preserve">Rashodi za nabavu proizvedene dugotrajne imovine</t>
  </si>
  <si>
    <t xml:space="preserve">422</t>
  </si>
  <si>
    <t xml:space="preserve">Postrojenja i oprema</t>
  </si>
  <si>
    <t xml:space="preserve">4221</t>
  </si>
  <si>
    <t xml:space="preserve">Uredska oprema i namještaj</t>
  </si>
  <si>
    <t xml:space="preserve">4227</t>
  </si>
  <si>
    <t xml:space="preserve">Uređaji, strojevi i oprema za ostale namjene</t>
  </si>
  <si>
    <t xml:space="preserve">424</t>
  </si>
  <si>
    <t xml:space="preserve">Knjige, umjetnička djela i ostale izložbene vrijednosti</t>
  </si>
  <si>
    <t xml:space="preserve">4241</t>
  </si>
  <si>
    <t xml:space="preserve">Knjige</t>
  </si>
  <si>
    <t xml:space="preserve">426</t>
  </si>
  <si>
    <t xml:space="preserve">Nematerijalna proizvedena imovina</t>
  </si>
  <si>
    <t xml:space="preserve">4264</t>
  </si>
  <si>
    <t xml:space="preserve">Ostala nematerijalna proizvedena imovina</t>
  </si>
  <si>
    <t xml:space="preserve">45</t>
  </si>
  <si>
    <t xml:space="preserve">Rashodi za dodatna ulaganja na nefinancijskoj imovini</t>
  </si>
  <si>
    <t xml:space="preserve">451</t>
  </si>
  <si>
    <t xml:space="preserve">Dodatna ulaganja na građevinskim objektima</t>
  </si>
  <si>
    <t xml:space="preserve">4511</t>
  </si>
  <si>
    <t xml:space="preserve">UKUPNO RASHODI</t>
  </si>
  <si>
    <t xml:space="preserve">OPĆI DIO – PRIHODI I RASHODI PREMA IZVORIMA FINANCIRANJA</t>
  </si>
  <si>
    <t xml:space="preserve">Izvor</t>
  </si>
  <si>
    <t xml:space="preserve">PRIHODI I PRIMICI</t>
  </si>
  <si>
    <t xml:space="preserve">11</t>
  </si>
  <si>
    <t xml:space="preserve">Opći prihodi i primici</t>
  </si>
  <si>
    <t xml:space="preserve">110</t>
  </si>
  <si>
    <t xml:space="preserve">   Opći prihodi i primici – Zadarska županija</t>
  </si>
  <si>
    <t xml:space="preserve">19</t>
  </si>
  <si>
    <t xml:space="preserve">Opći prihodi i primici – EU projekti (ZŽ)</t>
  </si>
  <si>
    <t xml:space="preserve">195062</t>
  </si>
  <si>
    <t xml:space="preserve">   Projekt Inkluzija (ZŽ)</t>
  </si>
  <si>
    <t xml:space="preserve">Vlastiti prihodi</t>
  </si>
  <si>
    <t xml:space="preserve">   Vlastiti prihodi – korisnici</t>
  </si>
  <si>
    <t xml:space="preserve">41</t>
  </si>
  <si>
    <t xml:space="preserve">Prihodi za posebne namjene</t>
  </si>
  <si>
    <t xml:space="preserve">   Prihodi za posebne namjene</t>
  </si>
  <si>
    <t xml:space="preserve">Višak prihoda iz prethodnih godina</t>
  </si>
  <si>
    <t xml:space="preserve">42034</t>
  </si>
  <si>
    <t xml:space="preserve">   Višak prihoda OŠ</t>
  </si>
  <si>
    <t xml:space="preserve">Decentralizirane funkcije (F.P. i dod. udio u porezu na dohodak)</t>
  </si>
  <si>
    <t xml:space="preserve">   F.P. i dod. udio u por. na dohodak</t>
  </si>
  <si>
    <t xml:space="preserve">51</t>
  </si>
  <si>
    <t xml:space="preserve">Pomoći iz državnog proračuna</t>
  </si>
  <si>
    <t xml:space="preserve">5103</t>
  </si>
  <si>
    <t xml:space="preserve">   MZO – ostali rashodi</t>
  </si>
  <si>
    <t xml:space="preserve">51034</t>
  </si>
  <si>
    <t xml:space="preserve">   MZO – udžbenici</t>
  </si>
  <si>
    <t xml:space="preserve">51035</t>
  </si>
  <si>
    <t xml:space="preserve">   MZO – plaće</t>
  </si>
  <si>
    <t xml:space="preserve">51038</t>
  </si>
  <si>
    <t xml:space="preserve">   MZO – Inkluzija</t>
  </si>
  <si>
    <t xml:space="preserve">510391</t>
  </si>
  <si>
    <t xml:space="preserve">   MZO – prehrana za učenike</t>
  </si>
  <si>
    <t xml:space="preserve">511903</t>
  </si>
  <si>
    <t xml:space="preserve">   MRMSOSP – menstrualne hig. potrepštine</t>
  </si>
  <si>
    <t xml:space="preserve">53</t>
  </si>
  <si>
    <t xml:space="preserve">Pomoći iz proračuna JLS</t>
  </si>
  <si>
    <t xml:space="preserve">   Proračun JLS – Grad Benkovac</t>
  </si>
  <si>
    <t xml:space="preserve">54</t>
  </si>
  <si>
    <t xml:space="preserve">Pomoći iz inozemstva (EU)</t>
  </si>
  <si>
    <t xml:space="preserve">540099</t>
  </si>
  <si>
    <t xml:space="preserve">   EU – Inkluzija, korak bliže društvu bez prepreka</t>
  </si>
  <si>
    <t xml:space="preserve">UKUPNO PRIHODI I PRIMICI</t>
  </si>
  <si>
    <t xml:space="preserve">RASHODI I IZDACI</t>
  </si>
  <si>
    <t xml:space="preserve">UKUPNO RASHODI I IZDACI</t>
  </si>
  <si>
    <t xml:space="preserve">OPĆI DIO – RASHODI PREMA FUNKCIJSKOJ KLASIFIKACIJI</t>
  </si>
  <si>
    <t xml:space="preserve">(u EUR)</t>
  </si>
  <si>
    <t xml:space="preserve">Funkcija</t>
  </si>
  <si>
    <t xml:space="preserve">09</t>
  </si>
  <si>
    <t xml:space="preserve">Obrazovanje</t>
  </si>
  <si>
    <t xml:space="preserve">0912</t>
  </si>
  <si>
    <t xml:space="preserve">Osnovno obrazovanje</t>
  </si>
  <si>
    <t xml:space="preserve">0960</t>
  </si>
  <si>
    <t xml:space="preserve">Dodatne usluge u obrazovanju</t>
  </si>
  <si>
    <t xml:space="preserve">POSEBNI DIO – RASHODI I IZDACI PO PROGRAMIMA, AKTIVNOSTIMA, IZVORIMA I EKONOMSKOJ KLASIFIKACIJI</t>
  </si>
  <si>
    <t xml:space="preserve">I. izmjene i dopune financijskog plana za 2024. godinu · Razdjel 007 · Glava 00706 · Proračunski korisnik 21238 OŠ Benkovac (u EUR)</t>
  </si>
  <si>
    <t xml:space="preserve">UKUPNO OŠ BENKOVAC</t>
  </si>
  <si>
    <t xml:space="preserve">Program 2202</t>
  </si>
  <si>
    <t xml:space="preserve">Osnovno školstvo – standard</t>
  </si>
  <si>
    <t xml:space="preserve">A2202-01</t>
  </si>
  <si>
    <t xml:space="preserve">Djelatnost osnovnih škola (funkcija 0912)</t>
  </si>
  <si>
    <t xml:space="preserve">Izvor 451</t>
  </si>
  <si>
    <t xml:space="preserve">F.P. i dod. udio u por. na dohodak</t>
  </si>
  <si>
    <t xml:space="preserve">32111</t>
  </si>
  <si>
    <t xml:space="preserve">Dnevnice za službeni put u zemlji</t>
  </si>
  <si>
    <t xml:space="preserve">32131</t>
  </si>
  <si>
    <t xml:space="preserve">Seminari, savjetovanja</t>
  </si>
  <si>
    <t xml:space="preserve">32149</t>
  </si>
  <si>
    <t xml:space="preserve">32211</t>
  </si>
  <si>
    <t xml:space="preserve">Uredski materijal</t>
  </si>
  <si>
    <t xml:space="preserve">32221</t>
  </si>
  <si>
    <t xml:space="preserve">Osnovni materijal i sirovine</t>
  </si>
  <si>
    <t xml:space="preserve">32231</t>
  </si>
  <si>
    <t xml:space="preserve">Električna energija</t>
  </si>
  <si>
    <t xml:space="preserve">32234</t>
  </si>
  <si>
    <t xml:space="preserve">Motorni benzin i dizel gorivo</t>
  </si>
  <si>
    <t xml:space="preserve">32241</t>
  </si>
  <si>
    <t xml:space="preserve">Materijal i dijelovi za tekuće i inv. održavanje građ. objekata</t>
  </si>
  <si>
    <t xml:space="preserve">32251</t>
  </si>
  <si>
    <t xml:space="preserve">Sitni inventar</t>
  </si>
  <si>
    <t xml:space="preserve">32271</t>
  </si>
  <si>
    <t xml:space="preserve">32311</t>
  </si>
  <si>
    <t xml:space="preserve">Usluge telefona, telefaksa</t>
  </si>
  <si>
    <t xml:space="preserve">32321</t>
  </si>
  <si>
    <t xml:space="preserve">Usluge tekućeg i inv. održavanja građ. objekata</t>
  </si>
  <si>
    <t xml:space="preserve">32341</t>
  </si>
  <si>
    <t xml:space="preserve">Opskrba vodom</t>
  </si>
  <si>
    <t xml:space="preserve">32353</t>
  </si>
  <si>
    <t xml:space="preserve">Zakupnine i najamnine za opremu (prijevoz učenika)</t>
  </si>
  <si>
    <t xml:space="preserve">32359</t>
  </si>
  <si>
    <t xml:space="preserve">Ostale najamnine i zakupnine</t>
  </si>
  <si>
    <t xml:space="preserve">32361</t>
  </si>
  <si>
    <t xml:space="preserve">Obvezni zdravstveni pregledi zaposlenika</t>
  </si>
  <si>
    <t xml:space="preserve">32379</t>
  </si>
  <si>
    <t xml:space="preserve">Ostale intelektualne usluge</t>
  </si>
  <si>
    <t xml:space="preserve">32389</t>
  </si>
  <si>
    <t xml:space="preserve">Ostale računalne usluge</t>
  </si>
  <si>
    <t xml:space="preserve">32922</t>
  </si>
  <si>
    <t xml:space="preserve">Premije osiguranja ostale imovine</t>
  </si>
  <si>
    <t xml:space="preserve">32941</t>
  </si>
  <si>
    <t xml:space="preserve">Tuzemne članarine</t>
  </si>
  <si>
    <t xml:space="preserve">34312</t>
  </si>
  <si>
    <t xml:space="preserve">Usluge platnog prometa</t>
  </si>
  <si>
    <t xml:space="preserve">A2202-04</t>
  </si>
  <si>
    <t xml:space="preserve">Administracija i upravljanje (funkcija 0912)</t>
  </si>
  <si>
    <t xml:space="preserve">Izvor 51035</t>
  </si>
  <si>
    <t xml:space="preserve">MZO – plaće</t>
  </si>
  <si>
    <t xml:space="preserve">31111</t>
  </si>
  <si>
    <t xml:space="preserve">31321</t>
  </si>
  <si>
    <t xml:space="preserve">Doprinos za obvezno zdravstveno osiguranje</t>
  </si>
  <si>
    <t xml:space="preserve">32121</t>
  </si>
  <si>
    <t xml:space="preserve">Naknade za prijevoz na posao i s posla</t>
  </si>
  <si>
    <t xml:space="preserve">32955</t>
  </si>
  <si>
    <t xml:space="preserve">Novčana naknada zbog nezapošljavanja osoba s invaliditetom</t>
  </si>
  <si>
    <t xml:space="preserve">Program 2203</t>
  </si>
  <si>
    <t xml:space="preserve">Osnovno školstvo – iznad standarda</t>
  </si>
  <si>
    <t xml:space="preserve">T2203-02</t>
  </si>
  <si>
    <t xml:space="preserve">Projektna dokumentacija – javne potrebe (funkcija 0912)</t>
  </si>
  <si>
    <t xml:space="preserve">Izvor 110</t>
  </si>
  <si>
    <t xml:space="preserve">Opći prihodi i primici – Zadarska županija</t>
  </si>
  <si>
    <t xml:space="preserve">42641</t>
  </si>
  <si>
    <t xml:space="preserve">A2203-04</t>
  </si>
  <si>
    <t xml:space="preserve">Podizanje kvalitete i standarda u školstvu (funkcija 0912)</t>
  </si>
  <si>
    <t xml:space="preserve">Izvor 31</t>
  </si>
  <si>
    <t xml:space="preserve">Vlastiti prihodi – korisnici</t>
  </si>
  <si>
    <t xml:space="preserve">32382</t>
  </si>
  <si>
    <t xml:space="preserve">Usluge razvoja softwarea</t>
  </si>
  <si>
    <t xml:space="preserve">32394</t>
  </si>
  <si>
    <t xml:space="preserve">Usluge pri registraciji prijevoznih sredstava</t>
  </si>
  <si>
    <t xml:space="preserve">34333</t>
  </si>
  <si>
    <t xml:space="preserve">Zatezne kamate iz poslovnih odnosa</t>
  </si>
  <si>
    <t xml:space="preserve">42219</t>
  </si>
  <si>
    <t xml:space="preserve">Ostala uredska oprema</t>
  </si>
  <si>
    <t xml:space="preserve">42271</t>
  </si>
  <si>
    <t xml:space="preserve">Uređaji</t>
  </si>
  <si>
    <t xml:space="preserve">Izvor 41</t>
  </si>
  <si>
    <t xml:space="preserve">31213</t>
  </si>
  <si>
    <t xml:space="preserve">Darovi</t>
  </si>
  <si>
    <t xml:space="preserve">31216</t>
  </si>
  <si>
    <t xml:space="preserve">Regres za godišnji odmor</t>
  </si>
  <si>
    <t xml:space="preserve">31219</t>
  </si>
  <si>
    <t xml:space="preserve">Ostali nenavedeni rashodi za zaposlene</t>
  </si>
  <si>
    <t xml:space="preserve">32224</t>
  </si>
  <si>
    <t xml:space="preserve">Namirnice</t>
  </si>
  <si>
    <t xml:space="preserve">Izvor 42034</t>
  </si>
  <si>
    <t xml:space="preserve">Višak prihoda OŠ</t>
  </si>
  <si>
    <t xml:space="preserve">32322</t>
  </si>
  <si>
    <t xml:space="preserve">Usluge tekućeg i inv. održavanja opreme</t>
  </si>
  <si>
    <t xml:space="preserve">32931</t>
  </si>
  <si>
    <t xml:space="preserve">45111</t>
  </si>
  <si>
    <t xml:space="preserve">Izvor 5103</t>
  </si>
  <si>
    <t xml:space="preserve">MZO – ostali rashodi</t>
  </si>
  <si>
    <t xml:space="preserve">32372</t>
  </si>
  <si>
    <t xml:space="preserve">Ugovori o djelu</t>
  </si>
  <si>
    <t xml:space="preserve">37221</t>
  </si>
  <si>
    <t xml:space="preserve">Sufinanciranje cijene prijevoza</t>
  </si>
  <si>
    <t xml:space="preserve">Izvor 51034</t>
  </si>
  <si>
    <t xml:space="preserve">MZO – udžbenici</t>
  </si>
  <si>
    <t xml:space="preserve">42411</t>
  </si>
  <si>
    <t xml:space="preserve">Knjige (knjižnica)</t>
  </si>
  <si>
    <t xml:space="preserve">Izvor 53</t>
  </si>
  <si>
    <t xml:space="preserve">Proračun JLS – Grad Benkovac</t>
  </si>
  <si>
    <t xml:space="preserve">37229</t>
  </si>
  <si>
    <t xml:space="preserve">Ostale naknade iz proračuna u naravi (radni materijal)</t>
  </si>
  <si>
    <t xml:space="preserve">A2203-27</t>
  </si>
  <si>
    <t xml:space="preserve">Udžbenici (funkcija 0960)</t>
  </si>
  <si>
    <t xml:space="preserve">Knjige (udžbenici)</t>
  </si>
  <si>
    <t xml:space="preserve">A2203-33</t>
  </si>
  <si>
    <t xml:space="preserve">Prehrana za učenike (funkcija 0912)</t>
  </si>
  <si>
    <t xml:space="preserve">Izvor 510391</t>
  </si>
  <si>
    <t xml:space="preserve">MZO – prehrana za učenike</t>
  </si>
  <si>
    <t xml:space="preserve">A2203-34</t>
  </si>
  <si>
    <t xml:space="preserve">Zalihe menstrualnih higijenskih potrepština (funkcija 0912)</t>
  </si>
  <si>
    <t xml:space="preserve">Izvor 511903</t>
  </si>
  <si>
    <t xml:space="preserve">MRMSOSP – menstrualne hig. potrepštine</t>
  </si>
  <si>
    <t xml:space="preserve">38129</t>
  </si>
  <si>
    <t xml:space="preserve">Ostale tekuće donacije u naravi</t>
  </si>
  <si>
    <t xml:space="preserve">Program 4306</t>
  </si>
  <si>
    <t xml:space="preserve">Nacionalni EU projekti</t>
  </si>
  <si>
    <t xml:space="preserve">T4306-03</t>
  </si>
  <si>
    <t xml:space="preserve">Inkluzija – korak bliže društvu bez prepreka 2023./2024. (funkcija 0912)</t>
  </si>
  <si>
    <t xml:space="preserve">Izvor 195062</t>
  </si>
  <si>
    <t xml:space="preserve">Projekt Inkluzija (ZŽ)</t>
  </si>
  <si>
    <t xml:space="preserve">Izvor 51038</t>
  </si>
  <si>
    <t xml:space="preserve">MZO – Inkluzija</t>
  </si>
  <si>
    <t xml:space="preserve">Izvor 540099</t>
  </si>
  <si>
    <t xml:space="preserve">EU – Inkluzija, korak bliže društvu bez prepreka</t>
  </si>
  <si>
    <t xml:space="preserve">RASHODI I IZDACI – DETALJNI PODACI PO KONTIMA</t>
  </si>
  <si>
    <t xml:space="preserve">Izvor podataka: Financijski plan 2024.–2026. (izvorni plan) i Prijedlog I. rebalansa 2024. – račun rashoda i izdataka (stupac Rebalans 1)</t>
  </si>
  <si>
    <t xml:space="preserve">Program</t>
  </si>
  <si>
    <t xml:space="preserve">Aktivnost/projekt</t>
  </si>
  <si>
    <t xml:space="preserve">Izvor (grupa)</t>
  </si>
  <si>
    <t xml:space="preserve">Razred</t>
  </si>
  <si>
    <t xml:space="preserve">Skupina</t>
  </si>
  <si>
    <t xml:space="preserve">Podskupina</t>
  </si>
  <si>
    <t xml:space="preserve">Odjeljak</t>
  </si>
  <si>
    <t xml:space="preserve">2202</t>
  </si>
  <si>
    <t xml:space="preserve">2203</t>
  </si>
  <si>
    <t xml:space="preserve">4306</t>
  </si>
  <si>
    <t xml:space="preserve">PRIHODI I PRIMICI – DETALJNI PODACI PO KONTIMA</t>
  </si>
  <si>
    <t xml:space="preserve">Izvor podataka: Financijski plan 2024.–2026. i Prijedlog I. rebalansa 2024. – račun prihoda i primitaka</t>
  </si>
  <si>
    <t xml:space="preserve">Konto (analitika)</t>
  </si>
  <si>
    <t xml:space="preserve">Opis izvora</t>
  </si>
  <si>
    <t xml:space="preserve">63311343101</t>
  </si>
  <si>
    <t xml:space="preserve">MZO – Inkluzija 2023./2024. OŠ</t>
  </si>
  <si>
    <t xml:space="preserve">6361211</t>
  </si>
  <si>
    <t xml:space="preserve">MZO – tekuće pomoći OŠ</t>
  </si>
  <si>
    <t xml:space="preserve">636123401</t>
  </si>
  <si>
    <t xml:space="preserve">MZO – plaće zaposlenih OŠ</t>
  </si>
  <si>
    <t xml:space="preserve">636123432</t>
  </si>
  <si>
    <t xml:space="preserve">636123433</t>
  </si>
  <si>
    <t xml:space="preserve">MRMSOSP – zalihe menstrualnih hig. potrepština</t>
  </si>
  <si>
    <t xml:space="preserve">6361311</t>
  </si>
  <si>
    <t xml:space="preserve">Grad Benkovac – tekuće pomoći OŠ</t>
  </si>
  <si>
    <t xml:space="preserve">63622340101</t>
  </si>
  <si>
    <t xml:space="preserve">MZO – udžbenici OŠ (kapitalne pomoći)</t>
  </si>
  <si>
    <t xml:space="preserve">63811343202</t>
  </si>
  <si>
    <t xml:space="preserve">MZO – projekt Inkluzija OŠ 2023./2024. (EU)</t>
  </si>
  <si>
    <t xml:space="preserve">63911</t>
  </si>
  <si>
    <t xml:space="preserve">Tekući prijenosi između PK istog proračuna (Inkluzija)</t>
  </si>
  <si>
    <t xml:space="preserve">63931</t>
  </si>
  <si>
    <t xml:space="preserve">Tekući prijenosi između PK – prijenos EU sredstava (Inkluzija)</t>
  </si>
  <si>
    <t xml:space="preserve">652682</t>
  </si>
  <si>
    <t xml:space="preserve">Prihodi za posebne namjene – OŠ</t>
  </si>
  <si>
    <t xml:space="preserve">661521</t>
  </si>
  <si>
    <t xml:space="preserve">Prihodi od pruženih usluga – OŠ</t>
  </si>
  <si>
    <t xml:space="preserve">67111004</t>
  </si>
  <si>
    <t xml:space="preserve">Prihodi iz nadležnog proračuna – decentralizirane funkcije</t>
  </si>
  <si>
    <t xml:space="preserve">671110041</t>
  </si>
  <si>
    <t xml:space="preserve">Prihodi iz nadležnog proračuna – opći prihodi ZŽ</t>
  </si>
  <si>
    <t xml:space="preserve">Prihodi iz nadležnog proračuna – Projekt Inkluzija (ZŽ)</t>
  </si>
  <si>
    <t xml:space="preserve">922111301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</si>
</sst>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;\-#,##0.00;\-"/>
    <numFmt numFmtId="166" formatCode="0.00;\-0.00;\-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2"/>
      <color rgb="FF000000"/>
      <name val="Arial"/>
      <family val="0"/>
      <charset val="1"/>
    </font>
    <font>
      <i val="true"/>
      <sz val="10"/>
      <color rgb="FF000000"/>
      <name val="Arial"/>
      <family val="0"/>
      <charset val="1"/>
    </font>
    <font>
      <sz val="10"/>
      <color rgb="FF008000"/>
      <name val="Arial"/>
      <family val="0"/>
      <charset val="1"/>
    </font>
    <font>
      <sz val="11"/>
      <name val="Cambria"/>
      <family val="0"/>
      <charset val="1"/>
    </font>
    <font>
      <sz val="10"/>
      <color rgb="FF0000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D9E2F3"/>
        <bgColor rgb="FFDDEBF7"/>
      </patternFill>
    </fill>
    <fill>
      <patternFill patternType="solid">
        <fgColor rgb="FFDDEBF7"/>
        <bgColor rgb="FFD9E2F3"/>
      </patternFill>
    </fill>
    <fill>
      <patternFill patternType="solid">
        <fgColor rgb="FFF2F2F2"/>
        <bgColor rgb="FFDDEBF7"/>
      </patternFill>
    </fill>
    <fill>
      <patternFill patternType="solid">
        <fgColor rgb="FFBDD7EE"/>
        <bgColor rgb="FFD9E2F3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5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8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3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4" fillId="3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4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5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" fillId="5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5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4" fillId="5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5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5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5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10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DEBF7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9E2F3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42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72"/>
    <col collapsed="false" customWidth="true" hidden="false" outlineLevel="0" max="6" min="3" style="0" width="16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4</v>
      </c>
      <c r="B6" s="3"/>
      <c r="C6" s="3"/>
      <c r="D6" s="3"/>
      <c r="E6" s="3"/>
      <c r="F6" s="3"/>
    </row>
    <row r="7" customFormat="false" ht="15" hidden="false" customHeight="false" outlineLevel="0" collapsed="false">
      <c r="A7" s="4" t="s">
        <v>5</v>
      </c>
      <c r="B7" s="4"/>
      <c r="C7" s="4"/>
      <c r="D7" s="4"/>
      <c r="E7" s="4"/>
      <c r="F7" s="4"/>
    </row>
    <row r="9" customFormat="false" ht="30" hidden="false" customHeight="true" outlineLevel="0" collapsed="false">
      <c r="A9" s="5" t="s">
        <v>6</v>
      </c>
      <c r="B9" s="5" t="s">
        <v>7</v>
      </c>
      <c r="C9" s="5" t="s">
        <v>8</v>
      </c>
      <c r="D9" s="5" t="s">
        <v>9</v>
      </c>
      <c r="E9" s="5" t="s">
        <v>10</v>
      </c>
      <c r="F9" s="5" t="s">
        <v>11</v>
      </c>
    </row>
    <row r="10" customFormat="false" ht="15" hidden="false" customHeight="false" outlineLevel="0" collapsed="false">
      <c r="A10" s="1" t="s">
        <v>12</v>
      </c>
    </row>
    <row r="11" customFormat="false" ht="15" hidden="false" customHeight="false" outlineLevel="0" collapsed="false">
      <c r="A11" s="6" t="s">
        <v>13</v>
      </c>
      <c r="B11" s="7" t="s">
        <v>14</v>
      </c>
      <c r="C11" s="8" t="n">
        <f aca="false">Prihodi_ekonomska!C10</f>
        <v>2906494.56</v>
      </c>
      <c r="D11" s="8" t="n">
        <f aca="false">E11-C11</f>
        <v>328852.89</v>
      </c>
      <c r="E11" s="8" t="n">
        <f aca="false">Prihodi_ekonomska!E10</f>
        <v>3235347.45</v>
      </c>
      <c r="F11" s="9" t="n">
        <f aca="false">IF(C11=0,"-",E11/C11*100)</f>
        <v>111.314416153595</v>
      </c>
    </row>
    <row r="12" customFormat="false" ht="15" hidden="false" customHeight="false" outlineLevel="0" collapsed="false">
      <c r="A12" s="6" t="s">
        <v>15</v>
      </c>
      <c r="B12" s="7" t="s">
        <v>16</v>
      </c>
      <c r="C12" s="10" t="n">
        <v>0</v>
      </c>
      <c r="D12" s="8" t="n">
        <f aca="false">E12-C12</f>
        <v>0</v>
      </c>
      <c r="E12" s="10" t="n">
        <v>0</v>
      </c>
      <c r="F12" s="9" t="s">
        <v>17</v>
      </c>
    </row>
    <row r="13" customFormat="false" ht="15" hidden="false" customHeight="false" outlineLevel="0" collapsed="false">
      <c r="A13" s="11"/>
      <c r="B13" s="12" t="s">
        <v>18</v>
      </c>
      <c r="C13" s="13" t="n">
        <f aca="false">C11+C12</f>
        <v>2906494.56</v>
      </c>
      <c r="D13" s="13" t="n">
        <f aca="false">E13-C13</f>
        <v>328852.89</v>
      </c>
      <c r="E13" s="13" t="n">
        <f aca="false">E11+E12</f>
        <v>3235347.45</v>
      </c>
      <c r="F13" s="14" t="n">
        <f aca="false">IF(C13=0,"-",E13/C13*100)</f>
        <v>111.314416153595</v>
      </c>
    </row>
    <row r="14" customFormat="false" ht="15" hidden="false" customHeight="false" outlineLevel="0" collapsed="false">
      <c r="A14" s="6" t="s">
        <v>19</v>
      </c>
      <c r="B14" s="7" t="s">
        <v>20</v>
      </c>
      <c r="C14" s="8" t="n">
        <f aca="false">Rashodi_ekonomska!C10</f>
        <v>2864604.55</v>
      </c>
      <c r="D14" s="8" t="n">
        <f aca="false">E14-C14</f>
        <v>323924.86</v>
      </c>
      <c r="E14" s="8" t="n">
        <f aca="false">Rashodi_ekonomska!E10</f>
        <v>3188529.41</v>
      </c>
      <c r="F14" s="9" t="n">
        <f aca="false">IF(C14=0,"-",E14/C14*100)</f>
        <v>111.307838633434</v>
      </c>
    </row>
    <row r="15" customFormat="false" ht="15" hidden="false" customHeight="false" outlineLevel="0" collapsed="false">
      <c r="A15" s="6" t="s">
        <v>21</v>
      </c>
      <c r="B15" s="7" t="s">
        <v>22</v>
      </c>
      <c r="C15" s="8" t="n">
        <f aca="false">Rashodi_ekonomska!C55</f>
        <v>63015.01</v>
      </c>
      <c r="D15" s="8" t="n">
        <f aca="false">E15-C15</f>
        <v>37885.56</v>
      </c>
      <c r="E15" s="8" t="n">
        <f aca="false">Rashodi_ekonomska!E55</f>
        <v>100900.57</v>
      </c>
      <c r="F15" s="9" t="n">
        <f aca="false">IF(C15=0,"-",E15/C15*100)</f>
        <v>160.12148534135</v>
      </c>
    </row>
    <row r="16" customFormat="false" ht="15" hidden="false" customHeight="false" outlineLevel="0" collapsed="false">
      <c r="A16" s="11"/>
      <c r="B16" s="12" t="s">
        <v>23</v>
      </c>
      <c r="C16" s="13" t="n">
        <f aca="false">C14+C15</f>
        <v>2927619.56</v>
      </c>
      <c r="D16" s="13" t="n">
        <f aca="false">E16-C16</f>
        <v>361810.42</v>
      </c>
      <c r="E16" s="13" t="n">
        <f aca="false">E14+E15</f>
        <v>3289429.98</v>
      </c>
      <c r="F16" s="14" t="n">
        <f aca="false">IF(C16=0,"-",E16/C16*100)</f>
        <v>112.358519014677</v>
      </c>
    </row>
    <row r="17" customFormat="false" ht="15" hidden="false" customHeight="false" outlineLevel="0" collapsed="false">
      <c r="A17" s="15"/>
      <c r="B17" s="16" t="s">
        <v>24</v>
      </c>
      <c r="C17" s="17" t="n">
        <f aca="false">ROUND(C13-C16,2)</f>
        <v>-21125</v>
      </c>
      <c r="D17" s="17" t="n">
        <f aca="false">E17-C17</f>
        <v>-32957.53</v>
      </c>
      <c r="E17" s="17" t="n">
        <f aca="false">ROUND(E13-E16,2)</f>
        <v>-54082.53</v>
      </c>
      <c r="F17" s="18" t="n">
        <f aca="false">IF(C17=0,"-",E17/C17*100)</f>
        <v>256.011976331361</v>
      </c>
    </row>
    <row r="19" customFormat="false" ht="15" hidden="false" customHeight="false" outlineLevel="0" collapsed="false">
      <c r="A19" s="1" t="s">
        <v>25</v>
      </c>
    </row>
    <row r="20" customFormat="false" ht="15" hidden="false" customHeight="false" outlineLevel="0" collapsed="false">
      <c r="A20" s="6" t="s">
        <v>26</v>
      </c>
      <c r="B20" s="7" t="s">
        <v>27</v>
      </c>
      <c r="C20" s="10" t="n">
        <v>0</v>
      </c>
      <c r="D20" s="8" t="n">
        <f aca="false">E20-C20</f>
        <v>0</v>
      </c>
      <c r="E20" s="10" t="n">
        <v>0</v>
      </c>
      <c r="F20" s="9" t="s">
        <v>17</v>
      </c>
    </row>
    <row r="21" customFormat="false" ht="15" hidden="false" customHeight="false" outlineLevel="0" collapsed="false">
      <c r="A21" s="6" t="s">
        <v>28</v>
      </c>
      <c r="B21" s="7" t="s">
        <v>29</v>
      </c>
      <c r="C21" s="10" t="n">
        <v>0</v>
      </c>
      <c r="D21" s="8" t="n">
        <f aca="false">E21-C21</f>
        <v>0</v>
      </c>
      <c r="E21" s="10" t="n">
        <v>0</v>
      </c>
      <c r="F21" s="9" t="s">
        <v>17</v>
      </c>
    </row>
    <row r="22" customFormat="false" ht="15" hidden="false" customHeight="false" outlineLevel="0" collapsed="false">
      <c r="A22" s="15"/>
      <c r="B22" s="16" t="s">
        <v>30</v>
      </c>
      <c r="C22" s="17" t="n">
        <f aca="false">C20-C21</f>
        <v>0</v>
      </c>
      <c r="D22" s="17" t="n">
        <f aca="false">E22-C22</f>
        <v>0</v>
      </c>
      <c r="E22" s="17" t="n">
        <f aca="false">E20-E21</f>
        <v>0</v>
      </c>
      <c r="F22" s="18" t="str">
        <f aca="false">IF(C22=0,"-",E22/C22*100)</f>
        <v>-</v>
      </c>
    </row>
    <row r="24" customFormat="false" ht="15" hidden="false" customHeight="false" outlineLevel="0" collapsed="false">
      <c r="A24" s="1" t="s">
        <v>31</v>
      </c>
    </row>
    <row r="25" customFormat="false" ht="15" hidden="false" customHeight="false" outlineLevel="0" collapsed="false">
      <c r="A25" s="6" t="s">
        <v>32</v>
      </c>
      <c r="B25" s="7" t="s">
        <v>33</v>
      </c>
      <c r="C25" s="8" t="n">
        <f aca="false">Prihodi_ekonomska!C31</f>
        <v>21125</v>
      </c>
      <c r="D25" s="8" t="n">
        <f aca="false">E25-C25</f>
        <v>32957.53</v>
      </c>
      <c r="E25" s="8" t="n">
        <f aca="false">Prihodi_ekonomska!E31</f>
        <v>54082.53</v>
      </c>
      <c r="F25" s="9" t="n">
        <f aca="false">IF(C25=0,"-",E25/C25*100)</f>
        <v>256.011976331361</v>
      </c>
    </row>
    <row r="27" customFormat="false" ht="15" hidden="false" customHeight="false" outlineLevel="0" collapsed="false">
      <c r="A27" s="19"/>
      <c r="B27" s="20" t="s">
        <v>34</v>
      </c>
      <c r="C27" s="21" t="n">
        <f aca="false">ROUND(C17+C22+C25,2)</f>
        <v>0</v>
      </c>
      <c r="D27" s="21" t="n">
        <f aca="false">E27-C27</f>
        <v>0</v>
      </c>
      <c r="E27" s="21" t="n">
        <f aca="false">ROUND(E17+E22+E25,2)</f>
        <v>0</v>
      </c>
      <c r="F27" s="22" t="str">
        <f aca="false">IF(C27=0,"-",E27/C27*100)</f>
        <v>-</v>
      </c>
    </row>
    <row r="29" customFormat="false" ht="15" hidden="false" customHeight="false" outlineLevel="0" collapsed="false">
      <c r="A29" s="6"/>
      <c r="B29" s="7" t="s">
        <v>35</v>
      </c>
      <c r="C29" s="8" t="n">
        <f aca="false">Po_izvorima!C33-Po_izvorima!C59</f>
        <v>0</v>
      </c>
      <c r="D29" s="8" t="n">
        <f aca="false">E29-C29</f>
        <v>0</v>
      </c>
      <c r="E29" s="8" t="n">
        <f aca="false">Po_izvorima!E33-Po_izvorima!E59</f>
        <v>0</v>
      </c>
      <c r="F29" s="9" t="str">
        <f aca="false">IF(C29=0,"-",E29/C29*100)</f>
        <v>-</v>
      </c>
    </row>
    <row r="30" customFormat="false" ht="15" hidden="false" customHeight="false" outlineLevel="0" collapsed="false">
      <c r="A30" s="6"/>
      <c r="B30" s="7" t="s">
        <v>36</v>
      </c>
      <c r="C30" s="8" t="n">
        <f aca="false">Posebni_dio!D10-Rashodi_ekonomska!C67</f>
        <v>0</v>
      </c>
      <c r="D30" s="8" t="n">
        <f aca="false">E30-C30</f>
        <v>0</v>
      </c>
      <c r="E30" s="8" t="n">
        <f aca="false">Posebni_dio!F10-Rashodi_ekonomska!E67</f>
        <v>0</v>
      </c>
      <c r="F30" s="9" t="str">
        <f aca="false">IF(C30=0,"-",E30/C30*100)</f>
        <v>-</v>
      </c>
    </row>
    <row r="32" customFormat="false" ht="15" hidden="false" customHeight="false" outlineLevel="0" collapsed="false">
      <c r="A32" s="1" t="s">
        <v>37</v>
      </c>
    </row>
    <row r="33" customFormat="false" ht="15" hidden="false" customHeight="false" outlineLevel="0" collapsed="false">
      <c r="A33" s="23" t="s">
        <v>38</v>
      </c>
    </row>
    <row r="34" customFormat="false" ht="15" hidden="false" customHeight="false" outlineLevel="0" collapsed="false">
      <c r="A34" s="23" t="s">
        <v>39</v>
      </c>
    </row>
    <row r="35" customFormat="false" ht="15" hidden="false" customHeight="false" outlineLevel="0" collapsed="false">
      <c r="A35" s="23" t="s">
        <v>40</v>
      </c>
    </row>
    <row r="36" customFormat="false" ht="15" hidden="false" customHeight="false" outlineLevel="0" collapsed="false">
      <c r="A36" s="23" t="s">
        <v>41</v>
      </c>
    </row>
    <row r="37" customFormat="false" ht="15" hidden="false" customHeight="false" outlineLevel="0" collapsed="false">
      <c r="A37" s="23" t="s">
        <v>42</v>
      </c>
    </row>
    <row r="38" customFormat="false" ht="15" hidden="false" customHeight="false" outlineLevel="0" collapsed="false">
      <c r="A38" s="23" t="s">
        <v>43</v>
      </c>
    </row>
    <row r="40" customFormat="false" ht="15" hidden="false" customHeight="false" outlineLevel="0" collapsed="false">
      <c r="B40" s="1" t="s">
        <v>44</v>
      </c>
      <c r="C40" s="24"/>
      <c r="D40" s="1" t="s">
        <v>45</v>
      </c>
    </row>
    <row r="42" customFormat="false" ht="15" hidden="false" customHeight="false" outlineLevel="0" collapsed="false">
      <c r="B42" s="2" t="s">
        <v>46</v>
      </c>
      <c r="D42" s="2" t="s">
        <v>47</v>
      </c>
    </row>
  </sheetData>
  <mergeCells count="2">
    <mergeCell ref="A6:F6"/>
    <mergeCell ref="A7:F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3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70"/>
    <col collapsed="false" customWidth="true" hidden="false" outlineLevel="0" max="6" min="3" style="0" width="16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48</v>
      </c>
      <c r="B6" s="3"/>
      <c r="C6" s="3"/>
      <c r="D6" s="3"/>
      <c r="E6" s="3"/>
      <c r="F6" s="3"/>
    </row>
    <row r="7" customFormat="false" ht="15" hidden="false" customHeight="false" outlineLevel="0" collapsed="false">
      <c r="A7" s="4" t="s">
        <v>49</v>
      </c>
      <c r="B7" s="4"/>
      <c r="C7" s="4"/>
      <c r="D7" s="4"/>
      <c r="E7" s="4"/>
      <c r="F7" s="4"/>
    </row>
    <row r="9" customFormat="false" ht="30" hidden="false" customHeight="true" outlineLevel="0" collapsed="false">
      <c r="A9" s="5" t="s">
        <v>50</v>
      </c>
      <c r="B9" s="5" t="s">
        <v>51</v>
      </c>
      <c r="C9" s="5" t="s">
        <v>8</v>
      </c>
      <c r="D9" s="5" t="s">
        <v>9</v>
      </c>
      <c r="E9" s="5" t="s">
        <v>10</v>
      </c>
      <c r="F9" s="5" t="s">
        <v>11</v>
      </c>
    </row>
    <row r="10" customFormat="false" ht="15" hidden="false" customHeight="false" outlineLevel="0" collapsed="false">
      <c r="A10" s="19" t="s">
        <v>13</v>
      </c>
      <c r="B10" s="20" t="s">
        <v>14</v>
      </c>
      <c r="C10" s="21" t="n">
        <f aca="false">SUMIFS(Prihodi_detalji!$J$10:$J$25,Prihodi_detalji!$B$10:$B$25,"6")</f>
        <v>2906494.56</v>
      </c>
      <c r="D10" s="21" t="n">
        <f aca="false">E10-C10</f>
        <v>328852.89</v>
      </c>
      <c r="E10" s="21" t="n">
        <f aca="false">SUMIFS(Prihodi_detalji!$L$10:$L$25,Prihodi_detalji!$B$10:$B$25,"6")</f>
        <v>3235347.45</v>
      </c>
      <c r="F10" s="22" t="n">
        <f aca="false">IF(C10=0,"-",E10/C10*100)</f>
        <v>111.314416153595</v>
      </c>
    </row>
    <row r="11" customFormat="false" ht="15" hidden="false" customHeight="false" outlineLevel="0" collapsed="false">
      <c r="A11" s="11" t="s">
        <v>52</v>
      </c>
      <c r="B11" s="12" t="s">
        <v>53</v>
      </c>
      <c r="C11" s="13" t="n">
        <f aca="false">SUMIFS(Prihodi_detalji!$J$10:$J$25,Prihodi_detalji!$C$10:$C$25,"63")</f>
        <v>2349503.11</v>
      </c>
      <c r="D11" s="13" t="n">
        <f aca="false">E11-C11</f>
        <v>379215.26</v>
      </c>
      <c r="E11" s="13" t="n">
        <f aca="false">SUMIFS(Prihodi_detalji!$L$10:$L$25,Prihodi_detalji!$C$10:$C$25,"63")</f>
        <v>2728718.37</v>
      </c>
      <c r="F11" s="14" t="n">
        <f aca="false">IF(C11=0,"-",E11/C11*100)</f>
        <v>116.140232306396</v>
      </c>
    </row>
    <row r="12" customFormat="false" ht="15" hidden="false" customHeight="false" outlineLevel="0" collapsed="false">
      <c r="A12" s="25" t="s">
        <v>54</v>
      </c>
      <c r="B12" s="26" t="s">
        <v>55</v>
      </c>
      <c r="C12" s="27" t="n">
        <f aca="false">SUMIFS(Prihodi_detalji!$J$10:$J$25,Prihodi_detalji!$D$10:$D$25,"633")</f>
        <v>9745.31</v>
      </c>
      <c r="D12" s="27" t="n">
        <f aca="false">E12-C12</f>
        <v>-9745.31</v>
      </c>
      <c r="E12" s="27" t="n">
        <f aca="false">SUMIFS(Prihodi_detalji!$L$10:$L$25,Prihodi_detalji!$D$10:$D$25,"633")</f>
        <v>0</v>
      </c>
      <c r="F12" s="28" t="n">
        <f aca="false">IF(C12=0,"-",E12/C12*100)</f>
        <v>0</v>
      </c>
    </row>
    <row r="13" customFormat="false" ht="15" hidden="false" customHeight="false" outlineLevel="0" collapsed="false">
      <c r="A13" s="6" t="s">
        <v>56</v>
      </c>
      <c r="B13" s="7" t="s">
        <v>57</v>
      </c>
      <c r="C13" s="8" t="n">
        <f aca="false">SUMIFS(Prihodi_detalji!$J$10:$J$25,Prihodi_detalji!$E$10:$E$25,"6331")</f>
        <v>9745.31</v>
      </c>
      <c r="D13" s="8" t="n">
        <f aca="false">E13-C13</f>
        <v>-9745.31</v>
      </c>
      <c r="E13" s="8" t="n">
        <f aca="false">SUMIFS(Prihodi_detalji!$L$10:$L$25,Prihodi_detalji!$E$10:$E$25,"6331")</f>
        <v>0</v>
      </c>
      <c r="F13" s="9" t="n">
        <f aca="false">IF(C13=0,"-",E13/C13*100)</f>
        <v>0</v>
      </c>
    </row>
    <row r="14" customFormat="false" ht="15" hidden="false" customHeight="false" outlineLevel="0" collapsed="false">
      <c r="A14" s="25" t="s">
        <v>58</v>
      </c>
      <c r="B14" s="26" t="s">
        <v>59</v>
      </c>
      <c r="C14" s="27" t="n">
        <f aca="false">SUMIFS(Prihodi_detalji!$J$10:$J$25,Prihodi_detalji!$D$10:$D$25,"636")</f>
        <v>2304145.64</v>
      </c>
      <c r="D14" s="27" t="n">
        <f aca="false">E14-C14</f>
        <v>373484.36</v>
      </c>
      <c r="E14" s="27" t="n">
        <f aca="false">SUMIFS(Prihodi_detalji!$L$10:$L$25,Prihodi_detalji!$D$10:$D$25,"636")</f>
        <v>2677630</v>
      </c>
      <c r="F14" s="28" t="n">
        <f aca="false">IF(C14=0,"-",E14/C14*100)</f>
        <v>116.209234065604</v>
      </c>
    </row>
    <row r="15" customFormat="false" ht="15" hidden="false" customHeight="false" outlineLevel="0" collapsed="false">
      <c r="A15" s="6" t="s">
        <v>60</v>
      </c>
      <c r="B15" s="7" t="s">
        <v>61</v>
      </c>
      <c r="C15" s="8" t="n">
        <f aca="false">SUMIFS(Prihodi_detalji!$J$10:$J$25,Prihodi_detalji!$E$10:$E$25,"6361")</f>
        <v>2272345.64</v>
      </c>
      <c r="D15" s="8" t="n">
        <f aca="false">E15-C15</f>
        <v>373484.36</v>
      </c>
      <c r="E15" s="8" t="n">
        <f aca="false">SUMIFS(Prihodi_detalji!$L$10:$L$25,Prihodi_detalji!$E$10:$E$25,"6361")</f>
        <v>2645830</v>
      </c>
      <c r="F15" s="9" t="n">
        <f aca="false">IF(C15=0,"-",E15/C15*100)</f>
        <v>116.436071758872</v>
      </c>
    </row>
    <row r="16" customFormat="false" ht="15" hidden="false" customHeight="false" outlineLevel="0" collapsed="false">
      <c r="A16" s="6" t="s">
        <v>62</v>
      </c>
      <c r="B16" s="7" t="s">
        <v>63</v>
      </c>
      <c r="C16" s="8" t="n">
        <f aca="false">SUMIFS(Prihodi_detalji!$J$10:$J$25,Prihodi_detalji!$E$10:$E$25,"6362")</f>
        <v>31800</v>
      </c>
      <c r="D16" s="8" t="n">
        <f aca="false">E16-C16</f>
        <v>0</v>
      </c>
      <c r="E16" s="8" t="n">
        <f aca="false">SUMIFS(Prihodi_detalji!$L$10:$L$25,Prihodi_detalji!$E$10:$E$25,"6362")</f>
        <v>31800</v>
      </c>
      <c r="F16" s="9" t="n">
        <f aca="false">IF(C16=0,"-",E16/C16*100)</f>
        <v>100</v>
      </c>
    </row>
    <row r="17" customFormat="false" ht="15" hidden="false" customHeight="false" outlineLevel="0" collapsed="false">
      <c r="A17" s="25" t="s">
        <v>64</v>
      </c>
      <c r="B17" s="26" t="s">
        <v>65</v>
      </c>
      <c r="C17" s="27" t="n">
        <f aca="false">SUMIFS(Prihodi_detalji!$J$10:$J$25,Prihodi_detalji!$D$10:$D$25,"638")</f>
        <v>35612.16</v>
      </c>
      <c r="D17" s="27" t="n">
        <f aca="false">E17-C17</f>
        <v>-35612.16</v>
      </c>
      <c r="E17" s="27" t="n">
        <f aca="false">SUMIFS(Prihodi_detalji!$L$10:$L$25,Prihodi_detalji!$D$10:$D$25,"638")</f>
        <v>0</v>
      </c>
      <c r="F17" s="28" t="n">
        <f aca="false">IF(C17=0,"-",E17/C17*100)</f>
        <v>0</v>
      </c>
    </row>
    <row r="18" customFormat="false" ht="15" hidden="false" customHeight="false" outlineLevel="0" collapsed="false">
      <c r="A18" s="6" t="s">
        <v>66</v>
      </c>
      <c r="B18" s="7" t="s">
        <v>67</v>
      </c>
      <c r="C18" s="8" t="n">
        <f aca="false">SUMIFS(Prihodi_detalji!$J$10:$J$25,Prihodi_detalji!$E$10:$E$25,"6381")</f>
        <v>35612.16</v>
      </c>
      <c r="D18" s="8" t="n">
        <f aca="false">E18-C18</f>
        <v>-35612.16</v>
      </c>
      <c r="E18" s="8" t="n">
        <f aca="false">SUMIFS(Prihodi_detalji!$L$10:$L$25,Prihodi_detalji!$E$10:$E$25,"6381")</f>
        <v>0</v>
      </c>
      <c r="F18" s="9" t="n">
        <f aca="false">IF(C18=0,"-",E18/C18*100)</f>
        <v>0</v>
      </c>
    </row>
    <row r="19" customFormat="false" ht="15" hidden="false" customHeight="false" outlineLevel="0" collapsed="false">
      <c r="A19" s="25" t="s">
        <v>68</v>
      </c>
      <c r="B19" s="26" t="s">
        <v>69</v>
      </c>
      <c r="C19" s="27" t="n">
        <f aca="false">SUMIFS(Prihodi_detalji!$J$10:$J$25,Prihodi_detalji!$D$10:$D$25,"639")</f>
        <v>0</v>
      </c>
      <c r="D19" s="27" t="n">
        <f aca="false">E19-C19</f>
        <v>51088.37</v>
      </c>
      <c r="E19" s="27" t="n">
        <f aca="false">SUMIFS(Prihodi_detalji!$L$10:$L$25,Prihodi_detalji!$D$10:$D$25,"639")</f>
        <v>51088.37</v>
      </c>
      <c r="F19" s="28" t="str">
        <f aca="false">IF(C19=0,"-",E19/C19*100)</f>
        <v>-</v>
      </c>
    </row>
    <row r="20" customFormat="false" ht="15" hidden="false" customHeight="false" outlineLevel="0" collapsed="false">
      <c r="A20" s="6" t="s">
        <v>70</v>
      </c>
      <c r="B20" s="7" t="s">
        <v>71</v>
      </c>
      <c r="C20" s="8" t="n">
        <f aca="false">SUMIFS(Prihodi_detalji!$J$10:$J$25,Prihodi_detalji!$E$10:$E$25,"6391")</f>
        <v>0</v>
      </c>
      <c r="D20" s="8" t="n">
        <f aca="false">E20-C20</f>
        <v>15476.21</v>
      </c>
      <c r="E20" s="8" t="n">
        <f aca="false">SUMIFS(Prihodi_detalji!$L$10:$L$25,Prihodi_detalji!$E$10:$E$25,"6391")</f>
        <v>15476.21</v>
      </c>
      <c r="F20" s="9" t="str">
        <f aca="false">IF(C20=0,"-",E20/C20*100)</f>
        <v>-</v>
      </c>
    </row>
    <row r="21" customFormat="false" ht="15" hidden="false" customHeight="false" outlineLevel="0" collapsed="false">
      <c r="A21" s="6" t="s">
        <v>72</v>
      </c>
      <c r="B21" s="7" t="s">
        <v>73</v>
      </c>
      <c r="C21" s="8" t="n">
        <f aca="false">SUMIFS(Prihodi_detalji!$J$10:$J$25,Prihodi_detalji!$E$10:$E$25,"6393")</f>
        <v>0</v>
      </c>
      <c r="D21" s="8" t="n">
        <f aca="false">E21-C21</f>
        <v>35612.16</v>
      </c>
      <c r="E21" s="8" t="n">
        <f aca="false">SUMIFS(Prihodi_detalji!$L$10:$L$25,Prihodi_detalji!$E$10:$E$25,"6393")</f>
        <v>35612.16</v>
      </c>
      <c r="F21" s="9" t="str">
        <f aca="false">IF(C21=0,"-",E21/C21*100)</f>
        <v>-</v>
      </c>
    </row>
    <row r="22" customFormat="false" ht="23.85" hidden="false" customHeight="false" outlineLevel="0" collapsed="false">
      <c r="A22" s="11" t="s">
        <v>74</v>
      </c>
      <c r="B22" s="12" t="s">
        <v>75</v>
      </c>
      <c r="C22" s="13" t="n">
        <f aca="false">SUMIFS(Prihodi_detalji!$J$10:$J$25,Prihodi_detalji!$C$10:$C$25,"65")</f>
        <v>11100</v>
      </c>
      <c r="D22" s="13" t="n">
        <f aca="false">E22-C22</f>
        <v>6550</v>
      </c>
      <c r="E22" s="13" t="n">
        <f aca="false">SUMIFS(Prihodi_detalji!$L$10:$L$25,Prihodi_detalji!$C$10:$C$25,"65")</f>
        <v>17650</v>
      </c>
      <c r="F22" s="14" t="n">
        <f aca="false">IF(C22=0,"-",E22/C22*100)</f>
        <v>159.009009009009</v>
      </c>
    </row>
    <row r="23" customFormat="false" ht="15" hidden="false" customHeight="false" outlineLevel="0" collapsed="false">
      <c r="A23" s="25" t="s">
        <v>76</v>
      </c>
      <c r="B23" s="26" t="s">
        <v>77</v>
      </c>
      <c r="C23" s="27" t="n">
        <f aca="false">SUMIFS(Prihodi_detalji!$J$10:$J$25,Prihodi_detalji!$D$10:$D$25,"652")</f>
        <v>11100</v>
      </c>
      <c r="D23" s="27" t="n">
        <f aca="false">E23-C23</f>
        <v>6550</v>
      </c>
      <c r="E23" s="27" t="n">
        <f aca="false">SUMIFS(Prihodi_detalji!$L$10:$L$25,Prihodi_detalji!$D$10:$D$25,"652")</f>
        <v>17650</v>
      </c>
      <c r="F23" s="28" t="n">
        <f aca="false">IF(C23=0,"-",E23/C23*100)</f>
        <v>159.009009009009</v>
      </c>
    </row>
    <row r="24" customFormat="false" ht="15" hidden="false" customHeight="false" outlineLevel="0" collapsed="false">
      <c r="A24" s="6" t="s">
        <v>78</v>
      </c>
      <c r="B24" s="7" t="s">
        <v>79</v>
      </c>
      <c r="C24" s="8" t="n">
        <f aca="false">SUMIFS(Prihodi_detalji!$J$10:$J$25,Prihodi_detalji!$E$10:$E$25,"6526")</f>
        <v>11100</v>
      </c>
      <c r="D24" s="8" t="n">
        <f aca="false">E24-C24</f>
        <v>6550</v>
      </c>
      <c r="E24" s="8" t="n">
        <f aca="false">SUMIFS(Prihodi_detalji!$L$10:$L$25,Prihodi_detalji!$E$10:$E$25,"6526")</f>
        <v>17650</v>
      </c>
      <c r="F24" s="9" t="n">
        <f aca="false">IF(C24=0,"-",E24/C24*100)</f>
        <v>159.009009009009</v>
      </c>
    </row>
    <row r="25" customFormat="false" ht="15" hidden="false" customHeight="false" outlineLevel="0" collapsed="false">
      <c r="A25" s="11" t="s">
        <v>80</v>
      </c>
      <c r="B25" s="12" t="s">
        <v>81</v>
      </c>
      <c r="C25" s="13" t="n">
        <f aca="false">SUMIFS(Prihodi_detalji!$J$10:$J$25,Prihodi_detalji!$C$10:$C$25,"66")</f>
        <v>21748.07</v>
      </c>
      <c r="D25" s="13" t="n">
        <f aca="false">E25-C25</f>
        <v>-200</v>
      </c>
      <c r="E25" s="13" t="n">
        <f aca="false">SUMIFS(Prihodi_detalji!$L$10:$L$25,Prihodi_detalji!$C$10:$C$25,"66")</f>
        <v>21548.07</v>
      </c>
      <c r="F25" s="14" t="n">
        <f aca="false">IF(C25=0,"-",E25/C25*100)</f>
        <v>99.0803781668902</v>
      </c>
    </row>
    <row r="26" customFormat="false" ht="15" hidden="false" customHeight="false" outlineLevel="0" collapsed="false">
      <c r="A26" s="25" t="s">
        <v>82</v>
      </c>
      <c r="B26" s="26" t="s">
        <v>83</v>
      </c>
      <c r="C26" s="27" t="n">
        <f aca="false">SUMIFS(Prihodi_detalji!$J$10:$J$25,Prihodi_detalji!$D$10:$D$25,"661")</f>
        <v>21748.07</v>
      </c>
      <c r="D26" s="27" t="n">
        <f aca="false">E26-C26</f>
        <v>-200</v>
      </c>
      <c r="E26" s="27" t="n">
        <f aca="false">SUMIFS(Prihodi_detalji!$L$10:$L$25,Prihodi_detalji!$D$10:$D$25,"661")</f>
        <v>21548.07</v>
      </c>
      <c r="F26" s="28" t="n">
        <f aca="false">IF(C26=0,"-",E26/C26*100)</f>
        <v>99.0803781668902</v>
      </c>
    </row>
    <row r="27" customFormat="false" ht="15" hidden="false" customHeight="false" outlineLevel="0" collapsed="false">
      <c r="A27" s="6" t="s">
        <v>84</v>
      </c>
      <c r="B27" s="7" t="s">
        <v>85</v>
      </c>
      <c r="C27" s="8" t="n">
        <f aca="false">SUMIFS(Prihodi_detalji!$J$10:$J$25,Prihodi_detalji!$E$10:$E$25,"6615")</f>
        <v>21748.07</v>
      </c>
      <c r="D27" s="8" t="n">
        <f aca="false">E27-C27</f>
        <v>-200</v>
      </c>
      <c r="E27" s="8" t="n">
        <f aca="false">SUMIFS(Prihodi_detalji!$L$10:$L$25,Prihodi_detalji!$E$10:$E$25,"6615")</f>
        <v>21548.07</v>
      </c>
      <c r="F27" s="9" t="n">
        <f aca="false">IF(C27=0,"-",E27/C27*100)</f>
        <v>99.0803781668902</v>
      </c>
    </row>
    <row r="28" customFormat="false" ht="15" hidden="false" customHeight="false" outlineLevel="0" collapsed="false">
      <c r="A28" s="11" t="s">
        <v>86</v>
      </c>
      <c r="B28" s="12" t="s">
        <v>87</v>
      </c>
      <c r="C28" s="13" t="n">
        <f aca="false">SUMIFS(Prihodi_detalji!$J$10:$J$25,Prihodi_detalji!$C$10:$C$25,"67")</f>
        <v>524143.38</v>
      </c>
      <c r="D28" s="13" t="n">
        <f aca="false">E28-C28</f>
        <v>-56712.37</v>
      </c>
      <c r="E28" s="13" t="n">
        <f aca="false">SUMIFS(Prihodi_detalji!$L$10:$L$25,Prihodi_detalji!$C$10:$C$25,"67")</f>
        <v>467431.01</v>
      </c>
      <c r="F28" s="14" t="n">
        <f aca="false">IF(C28=0,"-",E28/C28*100)</f>
        <v>89.1799892617169</v>
      </c>
    </row>
    <row r="29" customFormat="false" ht="23.85" hidden="false" customHeight="false" outlineLevel="0" collapsed="false">
      <c r="A29" s="25" t="s">
        <v>88</v>
      </c>
      <c r="B29" s="26" t="s">
        <v>89</v>
      </c>
      <c r="C29" s="27" t="n">
        <f aca="false">SUMIFS(Prihodi_detalji!$J$10:$J$25,Prihodi_detalji!$D$10:$D$25,"671")</f>
        <v>524143.38</v>
      </c>
      <c r="D29" s="27" t="n">
        <f aca="false">E29-C29</f>
        <v>-56712.37</v>
      </c>
      <c r="E29" s="27" t="n">
        <f aca="false">SUMIFS(Prihodi_detalji!$L$10:$L$25,Prihodi_detalji!$D$10:$D$25,"671")</f>
        <v>467431.01</v>
      </c>
      <c r="F29" s="28" t="n">
        <f aca="false">IF(C29=0,"-",E29/C29*100)</f>
        <v>89.1799892617169</v>
      </c>
    </row>
    <row r="30" customFormat="false" ht="15" hidden="false" customHeight="false" outlineLevel="0" collapsed="false">
      <c r="A30" s="6" t="s">
        <v>90</v>
      </c>
      <c r="B30" s="7" t="s">
        <v>91</v>
      </c>
      <c r="C30" s="8" t="n">
        <f aca="false">SUMIFS(Prihodi_detalji!$J$10:$J$25,Prihodi_detalji!$E$10:$E$25,"6711")</f>
        <v>524143.38</v>
      </c>
      <c r="D30" s="8" t="n">
        <f aca="false">E30-C30</f>
        <v>-56712.37</v>
      </c>
      <c r="E30" s="8" t="n">
        <f aca="false">SUMIFS(Prihodi_detalji!$L$10:$L$25,Prihodi_detalji!$E$10:$E$25,"6711")</f>
        <v>467431.01</v>
      </c>
      <c r="F30" s="9" t="n">
        <f aca="false">IF(C30=0,"-",E30/C30*100)</f>
        <v>89.1799892617169</v>
      </c>
    </row>
    <row r="31" customFormat="false" ht="15" hidden="false" customHeight="false" outlineLevel="0" collapsed="false">
      <c r="A31" s="19" t="s">
        <v>32</v>
      </c>
      <c r="B31" s="20" t="s">
        <v>92</v>
      </c>
      <c r="C31" s="21" t="n">
        <f aca="false">SUMIFS(Prihodi_detalji!$J$10:$J$25,Prihodi_detalji!$B$10:$B$25,"9")</f>
        <v>21125</v>
      </c>
      <c r="D31" s="21" t="n">
        <f aca="false">E31-C31</f>
        <v>32957.53</v>
      </c>
      <c r="E31" s="21" t="n">
        <f aca="false">SUMIFS(Prihodi_detalji!$L$10:$L$25,Prihodi_detalji!$B$10:$B$25,"9")</f>
        <v>54082.53</v>
      </c>
      <c r="F31" s="22" t="n">
        <f aca="false">IF(C31=0,"-",E31/C31*100)</f>
        <v>256.011976331361</v>
      </c>
    </row>
    <row r="32" customFormat="false" ht="15" hidden="false" customHeight="false" outlineLevel="0" collapsed="false">
      <c r="A32" s="11" t="s">
        <v>93</v>
      </c>
      <c r="B32" s="12" t="s">
        <v>94</v>
      </c>
      <c r="C32" s="13" t="n">
        <f aca="false">SUMIFS(Prihodi_detalji!$J$10:$J$25,Prihodi_detalji!$C$10:$C$25,"92")</f>
        <v>21125</v>
      </c>
      <c r="D32" s="13" t="n">
        <f aca="false">E32-C32</f>
        <v>32957.53</v>
      </c>
      <c r="E32" s="13" t="n">
        <f aca="false">SUMIFS(Prihodi_detalji!$L$10:$L$25,Prihodi_detalji!$C$10:$C$25,"92")</f>
        <v>54082.53</v>
      </c>
      <c r="F32" s="14" t="n">
        <f aca="false">IF(C32=0,"-",E32/C32*100)</f>
        <v>256.011976331361</v>
      </c>
    </row>
    <row r="33" customFormat="false" ht="15" hidden="false" customHeight="false" outlineLevel="0" collapsed="false">
      <c r="A33" s="25" t="s">
        <v>95</v>
      </c>
      <c r="B33" s="26" t="s">
        <v>96</v>
      </c>
      <c r="C33" s="27" t="n">
        <f aca="false">SUMIFS(Prihodi_detalji!$J$10:$J$25,Prihodi_detalji!$D$10:$D$25,"922")</f>
        <v>21125</v>
      </c>
      <c r="D33" s="27" t="n">
        <f aca="false">E33-C33</f>
        <v>32957.53</v>
      </c>
      <c r="E33" s="27" t="n">
        <f aca="false">SUMIFS(Prihodi_detalji!$L$10:$L$25,Prihodi_detalji!$D$10:$D$25,"922")</f>
        <v>54082.53</v>
      </c>
      <c r="F33" s="28" t="n">
        <f aca="false">IF(C33=0,"-",E33/C33*100)</f>
        <v>256.011976331361</v>
      </c>
    </row>
    <row r="34" customFormat="false" ht="15" hidden="false" customHeight="false" outlineLevel="0" collapsed="false">
      <c r="A34" s="6" t="s">
        <v>97</v>
      </c>
      <c r="B34" s="7" t="s">
        <v>98</v>
      </c>
      <c r="C34" s="8" t="n">
        <f aca="false">SUMIFS(Prihodi_detalji!$J$10:$J$25,Prihodi_detalji!$E$10:$E$25,"9221")</f>
        <v>21125</v>
      </c>
      <c r="D34" s="8" t="n">
        <f aca="false">E34-C34</f>
        <v>32957.53</v>
      </c>
      <c r="E34" s="8" t="n">
        <f aca="false">SUMIFS(Prihodi_detalji!$L$10:$L$25,Prihodi_detalji!$E$10:$E$25,"9221")</f>
        <v>54082.53</v>
      </c>
      <c r="F34" s="9" t="n">
        <f aca="false">IF(C34=0,"-",E34/C34*100)</f>
        <v>256.011976331361</v>
      </c>
    </row>
  </sheetData>
  <mergeCells count="2">
    <mergeCell ref="A6:F6"/>
    <mergeCell ref="A7:F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6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70"/>
    <col collapsed="false" customWidth="true" hidden="false" outlineLevel="0" max="6" min="3" style="0" width="16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99</v>
      </c>
      <c r="B6" s="3"/>
      <c r="C6" s="3"/>
      <c r="D6" s="3"/>
      <c r="E6" s="3"/>
      <c r="F6" s="3"/>
    </row>
    <row r="7" customFormat="false" ht="15" hidden="false" customHeight="false" outlineLevel="0" collapsed="false">
      <c r="A7" s="4" t="s">
        <v>49</v>
      </c>
      <c r="B7" s="4"/>
      <c r="C7" s="4"/>
      <c r="D7" s="4"/>
      <c r="E7" s="4"/>
      <c r="F7" s="4"/>
    </row>
    <row r="9" customFormat="false" ht="30" hidden="false" customHeight="true" outlineLevel="0" collapsed="false">
      <c r="A9" s="5" t="s">
        <v>50</v>
      </c>
      <c r="B9" s="5" t="s">
        <v>51</v>
      </c>
      <c r="C9" s="5" t="s">
        <v>8</v>
      </c>
      <c r="D9" s="5" t="s">
        <v>9</v>
      </c>
      <c r="E9" s="5" t="s">
        <v>10</v>
      </c>
      <c r="F9" s="5" t="s">
        <v>11</v>
      </c>
    </row>
    <row r="10" customFormat="false" ht="15" hidden="false" customHeight="false" outlineLevel="0" collapsed="false">
      <c r="A10" s="19" t="s">
        <v>19</v>
      </c>
      <c r="B10" s="20" t="s">
        <v>20</v>
      </c>
      <c r="C10" s="21" t="n">
        <f aca="false">SUMIFS(Rashodi_detalji!$L$10:$L$85,Rashodi_detalji!$G$10:$G$85,"3")</f>
        <v>2864604.55</v>
      </c>
      <c r="D10" s="21" t="n">
        <f aca="false">E10-C10</f>
        <v>323924.86</v>
      </c>
      <c r="E10" s="21" t="n">
        <f aca="false">SUMIFS(Rashodi_detalji!$N$10:$N$85,Rashodi_detalji!$G$10:$G$85,"3")</f>
        <v>3188529.41</v>
      </c>
      <c r="F10" s="22" t="n">
        <f aca="false">IF(C10=0,"-",E10/C10*100)</f>
        <v>111.307838633434</v>
      </c>
    </row>
    <row r="11" customFormat="false" ht="15" hidden="false" customHeight="false" outlineLevel="0" collapsed="false">
      <c r="A11" s="11" t="s">
        <v>100</v>
      </c>
      <c r="B11" s="12" t="s">
        <v>101</v>
      </c>
      <c r="C11" s="13" t="n">
        <f aca="false">SUMIFS(Rashodi_detalji!$L$10:$L$85,Rashodi_detalji!$H$10:$H$85,"31")</f>
        <v>2081637</v>
      </c>
      <c r="D11" s="13" t="n">
        <f aca="false">E11-C11</f>
        <v>363671.37</v>
      </c>
      <c r="E11" s="13" t="n">
        <f aca="false">SUMIFS(Rashodi_detalji!$N$10:$N$85,Rashodi_detalji!$H$10:$H$85,"31")</f>
        <v>2445308.37</v>
      </c>
      <c r="F11" s="14" t="n">
        <f aca="false">IF(C11=0,"-",E11/C11*100)</f>
        <v>117.470450899941</v>
      </c>
    </row>
    <row r="12" customFormat="false" ht="15" hidden="false" customHeight="false" outlineLevel="0" collapsed="false">
      <c r="A12" s="25" t="s">
        <v>102</v>
      </c>
      <c r="B12" s="26" t="s">
        <v>103</v>
      </c>
      <c r="C12" s="27" t="n">
        <f aca="false">SUMIFS(Rashodi_detalji!$L$10:$L$85,Rashodi_detalji!$I$10:$I$85,"311")</f>
        <v>1709304.31</v>
      </c>
      <c r="D12" s="27" t="n">
        <f aca="false">E12-C12</f>
        <v>284577.21</v>
      </c>
      <c r="E12" s="27" t="n">
        <f aca="false">SUMIFS(Rashodi_detalji!$N$10:$N$85,Rashodi_detalji!$I$10:$I$85,"311")</f>
        <v>1993881.52</v>
      </c>
      <c r="F12" s="28" t="n">
        <f aca="false">IF(C12=0,"-",E12/C12*100)</f>
        <v>116.648715406328</v>
      </c>
    </row>
    <row r="13" customFormat="false" ht="15" hidden="false" customHeight="false" outlineLevel="0" collapsed="false">
      <c r="A13" s="6" t="s">
        <v>104</v>
      </c>
      <c r="B13" s="7" t="s">
        <v>105</v>
      </c>
      <c r="C13" s="8" t="n">
        <f aca="false">SUMIFS(Rashodi_detalji!$L$10:$L$85,Rashodi_detalji!$J$10:$J$85,"3111")</f>
        <v>1709304.31</v>
      </c>
      <c r="D13" s="8" t="n">
        <f aca="false">E13-C13</f>
        <v>284577.21</v>
      </c>
      <c r="E13" s="8" t="n">
        <f aca="false">SUMIFS(Rashodi_detalji!$N$10:$N$85,Rashodi_detalji!$J$10:$J$85,"3111")</f>
        <v>1993881.52</v>
      </c>
      <c r="F13" s="9" t="n">
        <f aca="false">IF(C13=0,"-",E13/C13*100)</f>
        <v>116.648715406328</v>
      </c>
    </row>
    <row r="14" customFormat="false" ht="15" hidden="false" customHeight="false" outlineLevel="0" collapsed="false">
      <c r="A14" s="25" t="s">
        <v>106</v>
      </c>
      <c r="B14" s="26" t="s">
        <v>107</v>
      </c>
      <c r="C14" s="27" t="n">
        <f aca="false">SUMIFS(Rashodi_detalji!$L$10:$L$85,Rashodi_detalji!$I$10:$I$85,"312")</f>
        <v>93043.63</v>
      </c>
      <c r="D14" s="27" t="n">
        <f aca="false">E14-C14</f>
        <v>19961.37</v>
      </c>
      <c r="E14" s="27" t="n">
        <f aca="false">SUMIFS(Rashodi_detalji!$N$10:$N$85,Rashodi_detalji!$I$10:$I$85,"312")</f>
        <v>113005</v>
      </c>
      <c r="F14" s="28" t="n">
        <f aca="false">IF(C14=0,"-",E14/C14*100)</f>
        <v>121.453773890808</v>
      </c>
    </row>
    <row r="15" customFormat="false" ht="15" hidden="false" customHeight="false" outlineLevel="0" collapsed="false">
      <c r="A15" s="6" t="s">
        <v>108</v>
      </c>
      <c r="B15" s="7" t="s">
        <v>107</v>
      </c>
      <c r="C15" s="8" t="n">
        <f aca="false">SUMIFS(Rashodi_detalji!$L$10:$L$85,Rashodi_detalji!$J$10:$J$85,"3121")</f>
        <v>93043.63</v>
      </c>
      <c r="D15" s="8" t="n">
        <f aca="false">E15-C15</f>
        <v>19961.37</v>
      </c>
      <c r="E15" s="8" t="n">
        <f aca="false">SUMIFS(Rashodi_detalji!$N$10:$N$85,Rashodi_detalji!$J$10:$J$85,"3121")</f>
        <v>113005</v>
      </c>
      <c r="F15" s="9" t="n">
        <f aca="false">IF(C15=0,"-",E15/C15*100)</f>
        <v>121.453773890808</v>
      </c>
    </row>
    <row r="16" customFormat="false" ht="15" hidden="false" customHeight="false" outlineLevel="0" collapsed="false">
      <c r="A16" s="25" t="s">
        <v>109</v>
      </c>
      <c r="B16" s="26" t="s">
        <v>110</v>
      </c>
      <c r="C16" s="27" t="n">
        <f aca="false">SUMIFS(Rashodi_detalji!$L$10:$L$85,Rashodi_detalji!$I$10:$I$85,"313")</f>
        <v>279289.06</v>
      </c>
      <c r="D16" s="27" t="n">
        <f aca="false">E16-C16</f>
        <v>59132.79</v>
      </c>
      <c r="E16" s="27" t="n">
        <f aca="false">SUMIFS(Rashodi_detalji!$N$10:$N$85,Rashodi_detalji!$I$10:$I$85,"313")</f>
        <v>338421.85</v>
      </c>
      <c r="F16" s="28" t="n">
        <f aca="false">IF(C16=0,"-",E16/C16*100)</f>
        <v>121.172612346506</v>
      </c>
    </row>
    <row r="17" customFormat="false" ht="15" hidden="false" customHeight="false" outlineLevel="0" collapsed="false">
      <c r="A17" s="6" t="s">
        <v>111</v>
      </c>
      <c r="B17" s="7" t="s">
        <v>112</v>
      </c>
      <c r="C17" s="8" t="n">
        <f aca="false">SUMIFS(Rashodi_detalji!$L$10:$L$85,Rashodi_detalji!$J$10:$J$85,"3132")</f>
        <v>279289.06</v>
      </c>
      <c r="D17" s="8" t="n">
        <f aca="false">E17-C17</f>
        <v>59132.79</v>
      </c>
      <c r="E17" s="8" t="n">
        <f aca="false">SUMIFS(Rashodi_detalji!$N$10:$N$85,Rashodi_detalji!$J$10:$J$85,"3132")</f>
        <v>338421.85</v>
      </c>
      <c r="F17" s="9" t="n">
        <f aca="false">IF(C17=0,"-",E17/C17*100)</f>
        <v>121.172612346506</v>
      </c>
    </row>
    <row r="18" customFormat="false" ht="15" hidden="false" customHeight="false" outlineLevel="0" collapsed="false">
      <c r="A18" s="11" t="s">
        <v>113</v>
      </c>
      <c r="B18" s="12" t="s">
        <v>114</v>
      </c>
      <c r="C18" s="13" t="n">
        <f aca="false">SUMIFS(Rashodi_detalji!$L$10:$L$85,Rashodi_detalji!$H$10:$H$85,"32")</f>
        <v>736507.55</v>
      </c>
      <c r="D18" s="13" t="n">
        <f aca="false">E18-C18</f>
        <v>-39946.51</v>
      </c>
      <c r="E18" s="13" t="n">
        <f aca="false">SUMIFS(Rashodi_detalji!$N$10:$N$85,Rashodi_detalji!$H$10:$H$85,"32")</f>
        <v>696561.04</v>
      </c>
      <c r="F18" s="14" t="n">
        <f aca="false">IF(C18=0,"-",E18/C18*100)</f>
        <v>94.5762253217907</v>
      </c>
    </row>
    <row r="19" customFormat="false" ht="15" hidden="false" customHeight="false" outlineLevel="0" collapsed="false">
      <c r="A19" s="25" t="s">
        <v>115</v>
      </c>
      <c r="B19" s="26" t="s">
        <v>116</v>
      </c>
      <c r="C19" s="27" t="n">
        <f aca="false">SUMIFS(Rashodi_detalji!$L$10:$L$85,Rashodi_detalji!$I$10:$I$85,"321")</f>
        <v>151115.5</v>
      </c>
      <c r="D19" s="27" t="n">
        <f aca="false">E19-C19</f>
        <v>6184.5</v>
      </c>
      <c r="E19" s="27" t="n">
        <f aca="false">SUMIFS(Rashodi_detalji!$N$10:$N$85,Rashodi_detalji!$I$10:$I$85,"321")</f>
        <v>157300</v>
      </c>
      <c r="F19" s="28" t="n">
        <f aca="false">IF(C19=0,"-",E19/C19*100)</f>
        <v>104.092564958591</v>
      </c>
    </row>
    <row r="20" customFormat="false" ht="15" hidden="false" customHeight="false" outlineLevel="0" collapsed="false">
      <c r="A20" s="6" t="s">
        <v>117</v>
      </c>
      <c r="B20" s="7" t="s">
        <v>118</v>
      </c>
      <c r="C20" s="8" t="n">
        <f aca="false">SUMIFS(Rashodi_detalji!$L$10:$L$85,Rashodi_detalji!$J$10:$J$85,"3211")</f>
        <v>3000</v>
      </c>
      <c r="D20" s="8" t="n">
        <f aca="false">E20-C20</f>
        <v>500</v>
      </c>
      <c r="E20" s="8" t="n">
        <f aca="false">SUMIFS(Rashodi_detalji!$N$10:$N$85,Rashodi_detalji!$J$10:$J$85,"3211")</f>
        <v>3500</v>
      </c>
      <c r="F20" s="9" t="n">
        <f aca="false">IF(C20=0,"-",E20/C20*100)</f>
        <v>116.666666666667</v>
      </c>
    </row>
    <row r="21" customFormat="false" ht="15" hidden="false" customHeight="false" outlineLevel="0" collapsed="false">
      <c r="A21" s="6" t="s">
        <v>119</v>
      </c>
      <c r="B21" s="7" t="s">
        <v>120</v>
      </c>
      <c r="C21" s="8" t="n">
        <f aca="false">SUMIFS(Rashodi_detalji!$L$10:$L$85,Rashodi_detalji!$J$10:$J$85,"3212")</f>
        <v>144815.5</v>
      </c>
      <c r="D21" s="8" t="n">
        <f aca="false">E21-C21</f>
        <v>4184.5</v>
      </c>
      <c r="E21" s="8" t="n">
        <f aca="false">SUMIFS(Rashodi_detalji!$N$10:$N$85,Rashodi_detalji!$J$10:$J$85,"3212")</f>
        <v>149000</v>
      </c>
      <c r="F21" s="9" t="n">
        <f aca="false">IF(C21=0,"-",E21/C21*100)</f>
        <v>102.889538757937</v>
      </c>
    </row>
    <row r="22" customFormat="false" ht="15" hidden="false" customHeight="false" outlineLevel="0" collapsed="false">
      <c r="A22" s="6" t="s">
        <v>121</v>
      </c>
      <c r="B22" s="7" t="s">
        <v>122</v>
      </c>
      <c r="C22" s="8" t="n">
        <f aca="false">SUMIFS(Rashodi_detalji!$L$10:$L$85,Rashodi_detalji!$J$10:$J$85,"3213")</f>
        <v>3300</v>
      </c>
      <c r="D22" s="8" t="n">
        <f aca="false">E22-C22</f>
        <v>500</v>
      </c>
      <c r="E22" s="8" t="n">
        <f aca="false">SUMIFS(Rashodi_detalji!$N$10:$N$85,Rashodi_detalji!$J$10:$J$85,"3213")</f>
        <v>3800</v>
      </c>
      <c r="F22" s="9" t="n">
        <f aca="false">IF(C22=0,"-",E22/C22*100)</f>
        <v>115.151515151515</v>
      </c>
    </row>
    <row r="23" customFormat="false" ht="15" hidden="false" customHeight="false" outlineLevel="0" collapsed="false">
      <c r="A23" s="6" t="s">
        <v>123</v>
      </c>
      <c r="B23" s="7" t="s">
        <v>124</v>
      </c>
      <c r="C23" s="8" t="n">
        <f aca="false">SUMIFS(Rashodi_detalji!$L$10:$L$85,Rashodi_detalji!$J$10:$J$85,"3214")</f>
        <v>0</v>
      </c>
      <c r="D23" s="8" t="n">
        <f aca="false">E23-C23</f>
        <v>1000</v>
      </c>
      <c r="E23" s="8" t="n">
        <f aca="false">SUMIFS(Rashodi_detalji!$N$10:$N$85,Rashodi_detalji!$J$10:$J$85,"3214")</f>
        <v>1000</v>
      </c>
      <c r="F23" s="9" t="str">
        <f aca="false">IF(C23=0,"-",E23/C23*100)</f>
        <v>-</v>
      </c>
    </row>
    <row r="24" customFormat="false" ht="15" hidden="false" customHeight="false" outlineLevel="0" collapsed="false">
      <c r="A24" s="25" t="s">
        <v>125</v>
      </c>
      <c r="B24" s="26" t="s">
        <v>126</v>
      </c>
      <c r="C24" s="27" t="n">
        <f aca="false">SUMIFS(Rashodi_detalji!$L$10:$L$85,Rashodi_detalji!$I$10:$I$85,"322")</f>
        <v>202554</v>
      </c>
      <c r="D24" s="27" t="n">
        <f aca="false">E24-C24</f>
        <v>-13489.05</v>
      </c>
      <c r="E24" s="27" t="n">
        <f aca="false">SUMIFS(Rashodi_detalji!$N$10:$N$85,Rashodi_detalji!$I$10:$I$85,"322")</f>
        <v>189064.95</v>
      </c>
      <c r="F24" s="28" t="n">
        <f aca="false">IF(C24=0,"-",E24/C24*100)</f>
        <v>93.34051660298</v>
      </c>
    </row>
    <row r="25" customFormat="false" ht="15" hidden="false" customHeight="false" outlineLevel="0" collapsed="false">
      <c r="A25" s="6" t="s">
        <v>127</v>
      </c>
      <c r="B25" s="7" t="s">
        <v>128</v>
      </c>
      <c r="C25" s="8" t="n">
        <f aca="false">SUMIFS(Rashodi_detalji!$L$10:$L$85,Rashodi_detalji!$J$10:$J$85,"3221")</f>
        <v>7000</v>
      </c>
      <c r="D25" s="8" t="n">
        <f aca="false">E25-C25</f>
        <v>500</v>
      </c>
      <c r="E25" s="8" t="n">
        <f aca="false">SUMIFS(Rashodi_detalji!$N$10:$N$85,Rashodi_detalji!$J$10:$J$85,"3221")</f>
        <v>7500</v>
      </c>
      <c r="F25" s="9" t="n">
        <f aca="false">IF(C25=0,"-",E25/C25*100)</f>
        <v>107.142857142857</v>
      </c>
    </row>
    <row r="26" customFormat="false" ht="15" hidden="false" customHeight="false" outlineLevel="0" collapsed="false">
      <c r="A26" s="6" t="s">
        <v>129</v>
      </c>
      <c r="B26" s="7" t="s">
        <v>130</v>
      </c>
      <c r="C26" s="8" t="n">
        <f aca="false">SUMIFS(Rashodi_detalji!$L$10:$L$85,Rashodi_detalji!$J$10:$J$85,"3222")</f>
        <v>113650</v>
      </c>
      <c r="D26" s="8" t="n">
        <f aca="false">E26-C26</f>
        <v>1750</v>
      </c>
      <c r="E26" s="8" t="n">
        <f aca="false">SUMIFS(Rashodi_detalji!$N$10:$N$85,Rashodi_detalji!$J$10:$J$85,"3222")</f>
        <v>115400</v>
      </c>
      <c r="F26" s="9" t="n">
        <f aca="false">IF(C26=0,"-",E26/C26*100)</f>
        <v>101.539815222173</v>
      </c>
    </row>
    <row r="27" customFormat="false" ht="15" hidden="false" customHeight="false" outlineLevel="0" collapsed="false">
      <c r="A27" s="6" t="s">
        <v>131</v>
      </c>
      <c r="B27" s="7" t="s">
        <v>132</v>
      </c>
      <c r="C27" s="8" t="n">
        <f aca="false">SUMIFS(Rashodi_detalji!$L$10:$L$85,Rashodi_detalji!$J$10:$J$85,"3223")</f>
        <v>75000</v>
      </c>
      <c r="D27" s="8" t="n">
        <f aca="false">E27-C27</f>
        <v>-16835.05</v>
      </c>
      <c r="E27" s="8" t="n">
        <f aca="false">SUMIFS(Rashodi_detalji!$N$10:$N$85,Rashodi_detalji!$J$10:$J$85,"3223")</f>
        <v>58164.95</v>
      </c>
      <c r="F27" s="9" t="n">
        <f aca="false">IF(C27=0,"-",E27/C27*100)</f>
        <v>77.5532666666667</v>
      </c>
    </row>
    <row r="28" customFormat="false" ht="15" hidden="false" customHeight="false" outlineLevel="0" collapsed="false">
      <c r="A28" s="6" t="s">
        <v>133</v>
      </c>
      <c r="B28" s="7" t="s">
        <v>134</v>
      </c>
      <c r="C28" s="8" t="n">
        <f aca="false">SUMIFS(Rashodi_detalji!$L$10:$L$85,Rashodi_detalji!$J$10:$J$85,"3224")</f>
        <v>5404</v>
      </c>
      <c r="D28" s="8" t="n">
        <f aca="false">E28-C28</f>
        <v>596</v>
      </c>
      <c r="E28" s="8" t="n">
        <f aca="false">SUMIFS(Rashodi_detalji!$N$10:$N$85,Rashodi_detalji!$J$10:$J$85,"3224")</f>
        <v>6000</v>
      </c>
      <c r="F28" s="9" t="n">
        <f aca="false">IF(C28=0,"-",E28/C28*100)</f>
        <v>111.028867505551</v>
      </c>
    </row>
    <row r="29" customFormat="false" ht="15" hidden="false" customHeight="false" outlineLevel="0" collapsed="false">
      <c r="A29" s="6" t="s">
        <v>135</v>
      </c>
      <c r="B29" s="7" t="s">
        <v>136</v>
      </c>
      <c r="C29" s="8" t="n">
        <f aca="false">SUMIFS(Rashodi_detalji!$L$10:$L$85,Rashodi_detalji!$J$10:$J$85,"3225")</f>
        <v>0</v>
      </c>
      <c r="D29" s="8" t="n">
        <f aca="false">E29-C29</f>
        <v>500</v>
      </c>
      <c r="E29" s="8" t="n">
        <f aca="false">SUMIFS(Rashodi_detalji!$N$10:$N$85,Rashodi_detalji!$J$10:$J$85,"3225")</f>
        <v>500</v>
      </c>
      <c r="F29" s="9" t="str">
        <f aca="false">IF(C29=0,"-",E29/C29*100)</f>
        <v>-</v>
      </c>
    </row>
    <row r="30" customFormat="false" ht="15" hidden="false" customHeight="false" outlineLevel="0" collapsed="false">
      <c r="A30" s="6" t="s">
        <v>137</v>
      </c>
      <c r="B30" s="7" t="s">
        <v>138</v>
      </c>
      <c r="C30" s="8" t="n">
        <f aca="false">SUMIFS(Rashodi_detalji!$L$10:$L$85,Rashodi_detalji!$J$10:$J$85,"3227")</f>
        <v>1500</v>
      </c>
      <c r="D30" s="8" t="n">
        <f aca="false">E30-C30</f>
        <v>0</v>
      </c>
      <c r="E30" s="8" t="n">
        <f aca="false">SUMIFS(Rashodi_detalji!$N$10:$N$85,Rashodi_detalji!$J$10:$J$85,"3227")</f>
        <v>1500</v>
      </c>
      <c r="F30" s="9" t="n">
        <f aca="false">IF(C30=0,"-",E30/C30*100)</f>
        <v>100</v>
      </c>
    </row>
    <row r="31" customFormat="false" ht="15" hidden="false" customHeight="false" outlineLevel="0" collapsed="false">
      <c r="A31" s="25" t="s">
        <v>139</v>
      </c>
      <c r="B31" s="26" t="s">
        <v>140</v>
      </c>
      <c r="C31" s="27" t="n">
        <f aca="false">SUMIFS(Rashodi_detalji!$L$10:$L$85,Rashodi_detalji!$I$10:$I$85,"323")</f>
        <v>372138.05</v>
      </c>
      <c r="D31" s="27" t="n">
        <f aca="false">E31-C31</f>
        <v>-32091.96</v>
      </c>
      <c r="E31" s="27" t="n">
        <f aca="false">SUMIFS(Rashodi_detalji!$N$10:$N$85,Rashodi_detalji!$I$10:$I$85,"323")</f>
        <v>340046.09</v>
      </c>
      <c r="F31" s="28" t="n">
        <f aca="false">IF(C31=0,"-",E31/C31*100)</f>
        <v>91.3763292950022</v>
      </c>
    </row>
    <row r="32" customFormat="false" ht="15" hidden="false" customHeight="false" outlineLevel="0" collapsed="false">
      <c r="A32" s="6" t="s">
        <v>141</v>
      </c>
      <c r="B32" s="7" t="s">
        <v>142</v>
      </c>
      <c r="C32" s="8" t="n">
        <f aca="false">SUMIFS(Rashodi_detalji!$L$10:$L$85,Rashodi_detalji!$J$10:$J$85,"3231")</f>
        <v>2500</v>
      </c>
      <c r="D32" s="8" t="n">
        <f aca="false">E32-C32</f>
        <v>-300</v>
      </c>
      <c r="E32" s="8" t="n">
        <f aca="false">SUMIFS(Rashodi_detalji!$N$10:$N$85,Rashodi_detalji!$J$10:$J$85,"3231")</f>
        <v>2200</v>
      </c>
      <c r="F32" s="9" t="n">
        <f aca="false">IF(C32=0,"-",E32/C32*100)</f>
        <v>88</v>
      </c>
    </row>
    <row r="33" customFormat="false" ht="15" hidden="false" customHeight="false" outlineLevel="0" collapsed="false">
      <c r="A33" s="6" t="s">
        <v>143</v>
      </c>
      <c r="B33" s="7" t="s">
        <v>144</v>
      </c>
      <c r="C33" s="8" t="n">
        <f aca="false">SUMIFS(Rashodi_detalji!$L$10:$L$85,Rashodi_detalji!$J$10:$J$85,"3232")</f>
        <v>8318.07</v>
      </c>
      <c r="D33" s="8" t="n">
        <f aca="false">E33-C33</f>
        <v>4898.02</v>
      </c>
      <c r="E33" s="8" t="n">
        <f aca="false">SUMIFS(Rashodi_detalji!$N$10:$N$85,Rashodi_detalji!$J$10:$J$85,"3232")</f>
        <v>13216.09</v>
      </c>
      <c r="F33" s="9" t="n">
        <f aca="false">IF(C33=0,"-",E33/C33*100)</f>
        <v>158.884092103096</v>
      </c>
    </row>
    <row r="34" customFormat="false" ht="15" hidden="false" customHeight="false" outlineLevel="0" collapsed="false">
      <c r="A34" s="6" t="s">
        <v>145</v>
      </c>
      <c r="B34" s="7" t="s">
        <v>146</v>
      </c>
      <c r="C34" s="8" t="n">
        <f aca="false">SUMIFS(Rashodi_detalji!$L$10:$L$85,Rashodi_detalji!$J$10:$J$85,"3234")</f>
        <v>22259.98</v>
      </c>
      <c r="D34" s="8" t="n">
        <f aca="false">E34-C34</f>
        <v>18740.02</v>
      </c>
      <c r="E34" s="8" t="n">
        <f aca="false">SUMIFS(Rashodi_detalji!$N$10:$N$85,Rashodi_detalji!$J$10:$J$85,"3234")</f>
        <v>41000</v>
      </c>
      <c r="F34" s="9" t="n">
        <f aca="false">IF(C34=0,"-",E34/C34*100)</f>
        <v>184.187047787105</v>
      </c>
    </row>
    <row r="35" customFormat="false" ht="15" hidden="false" customHeight="false" outlineLevel="0" collapsed="false">
      <c r="A35" s="6" t="s">
        <v>147</v>
      </c>
      <c r="B35" s="7" t="s">
        <v>148</v>
      </c>
      <c r="C35" s="8" t="n">
        <f aca="false">SUMIFS(Rashodi_detalji!$L$10:$L$85,Rashodi_detalji!$J$10:$J$85,"3235")</f>
        <v>323700</v>
      </c>
      <c r="D35" s="8" t="n">
        <f aca="false">E35-C35</f>
        <v>-57300</v>
      </c>
      <c r="E35" s="8" t="n">
        <f aca="false">SUMIFS(Rashodi_detalji!$N$10:$N$85,Rashodi_detalji!$J$10:$J$85,"3235")</f>
        <v>266400</v>
      </c>
      <c r="F35" s="9" t="n">
        <f aca="false">IF(C35=0,"-",E35/C35*100)</f>
        <v>82.2984244670992</v>
      </c>
    </row>
    <row r="36" customFormat="false" ht="15" hidden="false" customHeight="false" outlineLevel="0" collapsed="false">
      <c r="A36" s="6" t="s">
        <v>149</v>
      </c>
      <c r="B36" s="7" t="s">
        <v>150</v>
      </c>
      <c r="C36" s="8" t="n">
        <f aca="false">SUMIFS(Rashodi_detalji!$L$10:$L$85,Rashodi_detalji!$J$10:$J$85,"3236")</f>
        <v>6500</v>
      </c>
      <c r="D36" s="8" t="n">
        <f aca="false">E36-C36</f>
        <v>800</v>
      </c>
      <c r="E36" s="8" t="n">
        <f aca="false">SUMIFS(Rashodi_detalji!$N$10:$N$85,Rashodi_detalji!$J$10:$J$85,"3236")</f>
        <v>7300</v>
      </c>
      <c r="F36" s="9" t="n">
        <f aca="false">IF(C36=0,"-",E36/C36*100)</f>
        <v>112.307692307692</v>
      </c>
    </row>
    <row r="37" customFormat="false" ht="15" hidden="false" customHeight="false" outlineLevel="0" collapsed="false">
      <c r="A37" s="6" t="s">
        <v>151</v>
      </c>
      <c r="B37" s="7" t="s">
        <v>152</v>
      </c>
      <c r="C37" s="8" t="n">
        <f aca="false">SUMIFS(Rashodi_detalji!$L$10:$L$85,Rashodi_detalji!$J$10:$J$85,"3237")</f>
        <v>3100</v>
      </c>
      <c r="D37" s="8" t="n">
        <f aca="false">E37-C37</f>
        <v>600</v>
      </c>
      <c r="E37" s="8" t="n">
        <f aca="false">SUMIFS(Rashodi_detalji!$N$10:$N$85,Rashodi_detalji!$J$10:$J$85,"3237")</f>
        <v>3700</v>
      </c>
      <c r="F37" s="9" t="n">
        <f aca="false">IF(C37=0,"-",E37/C37*100)</f>
        <v>119.354838709677</v>
      </c>
    </row>
    <row r="38" customFormat="false" ht="15" hidden="false" customHeight="false" outlineLevel="0" collapsed="false">
      <c r="A38" s="6" t="s">
        <v>153</v>
      </c>
      <c r="B38" s="7" t="s">
        <v>154</v>
      </c>
      <c r="C38" s="8" t="n">
        <f aca="false">SUMIFS(Rashodi_detalji!$L$10:$L$85,Rashodi_detalji!$J$10:$J$85,"3238")</f>
        <v>5360</v>
      </c>
      <c r="D38" s="8" t="n">
        <f aca="false">E38-C38</f>
        <v>470</v>
      </c>
      <c r="E38" s="8" t="n">
        <f aca="false">SUMIFS(Rashodi_detalji!$N$10:$N$85,Rashodi_detalji!$J$10:$J$85,"3238")</f>
        <v>5830</v>
      </c>
      <c r="F38" s="9" t="n">
        <f aca="false">IF(C38=0,"-",E38/C38*100)</f>
        <v>108.768656716418</v>
      </c>
    </row>
    <row r="39" customFormat="false" ht="15" hidden="false" customHeight="false" outlineLevel="0" collapsed="false">
      <c r="A39" s="6" t="s">
        <v>155</v>
      </c>
      <c r="B39" s="7" t="s">
        <v>156</v>
      </c>
      <c r="C39" s="8" t="n">
        <f aca="false">SUMIFS(Rashodi_detalji!$L$10:$L$85,Rashodi_detalji!$J$10:$J$85,"3239")</f>
        <v>400</v>
      </c>
      <c r="D39" s="8" t="n">
        <f aca="false">E39-C39</f>
        <v>0</v>
      </c>
      <c r="E39" s="8" t="n">
        <f aca="false">SUMIFS(Rashodi_detalji!$N$10:$N$85,Rashodi_detalji!$J$10:$J$85,"3239")</f>
        <v>400</v>
      </c>
      <c r="F39" s="9" t="n">
        <f aca="false">IF(C39=0,"-",E39/C39*100)</f>
        <v>100</v>
      </c>
    </row>
    <row r="40" customFormat="false" ht="15" hidden="false" customHeight="false" outlineLevel="0" collapsed="false">
      <c r="A40" s="25" t="s">
        <v>157</v>
      </c>
      <c r="B40" s="26" t="s">
        <v>158</v>
      </c>
      <c r="C40" s="27" t="n">
        <f aca="false">SUMIFS(Rashodi_detalji!$L$10:$L$85,Rashodi_detalji!$I$10:$I$85,"329")</f>
        <v>10700</v>
      </c>
      <c r="D40" s="27" t="n">
        <f aca="false">E40-C40</f>
        <v>-550</v>
      </c>
      <c r="E40" s="27" t="n">
        <f aca="false">SUMIFS(Rashodi_detalji!$N$10:$N$85,Rashodi_detalji!$I$10:$I$85,"329")</f>
        <v>10150</v>
      </c>
      <c r="F40" s="28" t="n">
        <f aca="false">IF(C40=0,"-",E40/C40*100)</f>
        <v>94.8598130841122</v>
      </c>
    </row>
    <row r="41" customFormat="false" ht="15" hidden="false" customHeight="false" outlineLevel="0" collapsed="false">
      <c r="A41" s="6" t="s">
        <v>159</v>
      </c>
      <c r="B41" s="7" t="s">
        <v>160</v>
      </c>
      <c r="C41" s="8" t="n">
        <f aca="false">SUMIFS(Rashodi_detalji!$L$10:$L$85,Rashodi_detalji!$J$10:$J$85,"3292")</f>
        <v>2300</v>
      </c>
      <c r="D41" s="8" t="n">
        <f aca="false">E41-C41</f>
        <v>-300</v>
      </c>
      <c r="E41" s="8" t="n">
        <f aca="false">SUMIFS(Rashodi_detalji!$N$10:$N$85,Rashodi_detalji!$J$10:$J$85,"3292")</f>
        <v>2000</v>
      </c>
      <c r="F41" s="9" t="n">
        <f aca="false">IF(C41=0,"-",E41/C41*100)</f>
        <v>86.9565217391304</v>
      </c>
    </row>
    <row r="42" customFormat="false" ht="15" hidden="false" customHeight="false" outlineLevel="0" collapsed="false">
      <c r="A42" s="6" t="s">
        <v>161</v>
      </c>
      <c r="B42" s="7" t="s">
        <v>162</v>
      </c>
      <c r="C42" s="8" t="n">
        <f aca="false">SUMIFS(Rashodi_detalji!$L$10:$L$85,Rashodi_detalji!$J$10:$J$85,"3293")</f>
        <v>2000</v>
      </c>
      <c r="D42" s="8" t="n">
        <f aca="false">E42-C42</f>
        <v>-500</v>
      </c>
      <c r="E42" s="8" t="n">
        <f aca="false">SUMIFS(Rashodi_detalji!$N$10:$N$85,Rashodi_detalji!$J$10:$J$85,"3293")</f>
        <v>1500</v>
      </c>
      <c r="F42" s="9" t="n">
        <f aca="false">IF(C42=0,"-",E42/C42*100)</f>
        <v>75</v>
      </c>
    </row>
    <row r="43" customFormat="false" ht="15" hidden="false" customHeight="false" outlineLevel="0" collapsed="false">
      <c r="A43" s="6" t="s">
        <v>163</v>
      </c>
      <c r="B43" s="7" t="s">
        <v>164</v>
      </c>
      <c r="C43" s="8" t="n">
        <f aca="false">SUMIFS(Rashodi_detalji!$L$10:$L$85,Rashodi_detalji!$J$10:$J$85,"3294")</f>
        <v>250</v>
      </c>
      <c r="D43" s="8" t="n">
        <f aca="false">E43-C43</f>
        <v>250</v>
      </c>
      <c r="E43" s="8" t="n">
        <f aca="false">SUMIFS(Rashodi_detalji!$N$10:$N$85,Rashodi_detalji!$J$10:$J$85,"3294")</f>
        <v>500</v>
      </c>
      <c r="F43" s="9" t="n">
        <f aca="false">IF(C43=0,"-",E43/C43*100)</f>
        <v>200</v>
      </c>
    </row>
    <row r="44" customFormat="false" ht="15" hidden="false" customHeight="false" outlineLevel="0" collapsed="false">
      <c r="A44" s="6" t="s">
        <v>165</v>
      </c>
      <c r="B44" s="7" t="s">
        <v>166</v>
      </c>
      <c r="C44" s="8" t="n">
        <f aca="false">SUMIFS(Rashodi_detalji!$L$10:$L$85,Rashodi_detalji!$J$10:$J$85,"3295")</f>
        <v>6150</v>
      </c>
      <c r="D44" s="8" t="n">
        <f aca="false">E44-C44</f>
        <v>0</v>
      </c>
      <c r="E44" s="8" t="n">
        <f aca="false">SUMIFS(Rashodi_detalji!$N$10:$N$85,Rashodi_detalji!$J$10:$J$85,"3295")</f>
        <v>6150</v>
      </c>
      <c r="F44" s="9" t="n">
        <f aca="false">IF(C44=0,"-",E44/C44*100)</f>
        <v>100</v>
      </c>
    </row>
    <row r="45" customFormat="false" ht="15" hidden="false" customHeight="false" outlineLevel="0" collapsed="false">
      <c r="A45" s="11" t="s">
        <v>167</v>
      </c>
      <c r="B45" s="12" t="s">
        <v>168</v>
      </c>
      <c r="C45" s="13" t="n">
        <f aca="false">SUMIFS(Rashodi_detalji!$L$10:$L$85,Rashodi_detalji!$H$10:$H$85,"34")</f>
        <v>1100</v>
      </c>
      <c r="D45" s="13" t="n">
        <f aca="false">E45-C45</f>
        <v>200</v>
      </c>
      <c r="E45" s="13" t="n">
        <f aca="false">SUMIFS(Rashodi_detalji!$N$10:$N$85,Rashodi_detalji!$H$10:$H$85,"34")</f>
        <v>1300</v>
      </c>
      <c r="F45" s="14" t="n">
        <f aca="false">IF(C45=0,"-",E45/C45*100)</f>
        <v>118.181818181818</v>
      </c>
    </row>
    <row r="46" customFormat="false" ht="15" hidden="false" customHeight="false" outlineLevel="0" collapsed="false">
      <c r="A46" s="25" t="s">
        <v>169</v>
      </c>
      <c r="B46" s="26" t="s">
        <v>170</v>
      </c>
      <c r="C46" s="27" t="n">
        <f aca="false">SUMIFS(Rashodi_detalji!$L$10:$L$85,Rashodi_detalji!$I$10:$I$85,"343")</f>
        <v>1100</v>
      </c>
      <c r="D46" s="27" t="n">
        <f aca="false">E46-C46</f>
        <v>200</v>
      </c>
      <c r="E46" s="27" t="n">
        <f aca="false">SUMIFS(Rashodi_detalji!$N$10:$N$85,Rashodi_detalji!$I$10:$I$85,"343")</f>
        <v>1300</v>
      </c>
      <c r="F46" s="28" t="n">
        <f aca="false">IF(C46=0,"-",E46/C46*100)</f>
        <v>118.181818181818</v>
      </c>
    </row>
    <row r="47" customFormat="false" ht="15" hidden="false" customHeight="false" outlineLevel="0" collapsed="false">
      <c r="A47" s="6" t="s">
        <v>171</v>
      </c>
      <c r="B47" s="7" t="s">
        <v>172</v>
      </c>
      <c r="C47" s="8" t="n">
        <f aca="false">SUMIFS(Rashodi_detalji!$L$10:$L$85,Rashodi_detalji!$J$10:$J$85,"3431")</f>
        <v>600</v>
      </c>
      <c r="D47" s="8" t="n">
        <f aca="false">E47-C47</f>
        <v>200</v>
      </c>
      <c r="E47" s="8" t="n">
        <f aca="false">SUMIFS(Rashodi_detalji!$N$10:$N$85,Rashodi_detalji!$J$10:$J$85,"3431")</f>
        <v>800</v>
      </c>
      <c r="F47" s="9" t="n">
        <f aca="false">IF(C47=0,"-",E47/C47*100)</f>
        <v>133.333333333333</v>
      </c>
    </row>
    <row r="48" customFormat="false" ht="15" hidden="false" customHeight="false" outlineLevel="0" collapsed="false">
      <c r="A48" s="6" t="s">
        <v>173</v>
      </c>
      <c r="B48" s="7" t="s">
        <v>174</v>
      </c>
      <c r="C48" s="8" t="n">
        <f aca="false">SUMIFS(Rashodi_detalji!$L$10:$L$85,Rashodi_detalji!$J$10:$J$85,"3433")</f>
        <v>500</v>
      </c>
      <c r="D48" s="8" t="n">
        <f aca="false">E48-C48</f>
        <v>0</v>
      </c>
      <c r="E48" s="8" t="n">
        <f aca="false">SUMIFS(Rashodi_detalji!$N$10:$N$85,Rashodi_detalji!$J$10:$J$85,"3433")</f>
        <v>500</v>
      </c>
      <c r="F48" s="9" t="n">
        <f aca="false">IF(C48=0,"-",E48/C48*100)</f>
        <v>100</v>
      </c>
    </row>
    <row r="49" customFormat="false" ht="15" hidden="false" customHeight="false" outlineLevel="0" collapsed="false">
      <c r="A49" s="11" t="s">
        <v>175</v>
      </c>
      <c r="B49" s="12" t="s">
        <v>176</v>
      </c>
      <c r="C49" s="13" t="n">
        <f aca="false">SUMIFS(Rashodi_detalji!$L$10:$L$85,Rashodi_detalji!$H$10:$H$85,"37")</f>
        <v>44000</v>
      </c>
      <c r="D49" s="13" t="n">
        <f aca="false">E49-C49</f>
        <v>0</v>
      </c>
      <c r="E49" s="13" t="n">
        <f aca="false">SUMIFS(Rashodi_detalji!$N$10:$N$85,Rashodi_detalji!$H$10:$H$85,"37")</f>
        <v>44000</v>
      </c>
      <c r="F49" s="14" t="n">
        <f aca="false">IF(C49=0,"-",E49/C49*100)</f>
        <v>100</v>
      </c>
    </row>
    <row r="50" customFormat="false" ht="15" hidden="false" customHeight="false" outlineLevel="0" collapsed="false">
      <c r="A50" s="25" t="s">
        <v>177</v>
      </c>
      <c r="B50" s="26" t="s">
        <v>178</v>
      </c>
      <c r="C50" s="27" t="n">
        <f aca="false">SUMIFS(Rashodi_detalji!$L$10:$L$85,Rashodi_detalji!$I$10:$I$85,"372")</f>
        <v>44000</v>
      </c>
      <c r="D50" s="27" t="n">
        <f aca="false">E50-C50</f>
        <v>0</v>
      </c>
      <c r="E50" s="27" t="n">
        <f aca="false">SUMIFS(Rashodi_detalji!$N$10:$N$85,Rashodi_detalji!$I$10:$I$85,"372")</f>
        <v>44000</v>
      </c>
      <c r="F50" s="28" t="n">
        <f aca="false">IF(C50=0,"-",E50/C50*100)</f>
        <v>100</v>
      </c>
    </row>
    <row r="51" customFormat="false" ht="15" hidden="false" customHeight="false" outlineLevel="0" collapsed="false">
      <c r="A51" s="6" t="s">
        <v>179</v>
      </c>
      <c r="B51" s="7" t="s">
        <v>180</v>
      </c>
      <c r="C51" s="8" t="n">
        <f aca="false">SUMIFS(Rashodi_detalji!$L$10:$L$85,Rashodi_detalji!$J$10:$J$85,"3722")</f>
        <v>44000</v>
      </c>
      <c r="D51" s="8" t="n">
        <f aca="false">E51-C51</f>
        <v>0</v>
      </c>
      <c r="E51" s="8" t="n">
        <f aca="false">SUMIFS(Rashodi_detalji!$N$10:$N$85,Rashodi_detalji!$J$10:$J$85,"3722")</f>
        <v>44000</v>
      </c>
      <c r="F51" s="9" t="n">
        <f aca="false">IF(C51=0,"-",E51/C51*100)</f>
        <v>100</v>
      </c>
    </row>
    <row r="52" customFormat="false" ht="15" hidden="false" customHeight="false" outlineLevel="0" collapsed="false">
      <c r="A52" s="11" t="s">
        <v>181</v>
      </c>
      <c r="B52" s="12" t="s">
        <v>182</v>
      </c>
      <c r="C52" s="13" t="n">
        <f aca="false">SUMIFS(Rashodi_detalji!$L$10:$L$85,Rashodi_detalji!$H$10:$H$85,"38")</f>
        <v>1360</v>
      </c>
      <c r="D52" s="13" t="n">
        <f aca="false">E52-C52</f>
        <v>0</v>
      </c>
      <c r="E52" s="13" t="n">
        <f aca="false">SUMIFS(Rashodi_detalji!$N$10:$N$85,Rashodi_detalji!$H$10:$H$85,"38")</f>
        <v>1360</v>
      </c>
      <c r="F52" s="14" t="n">
        <f aca="false">IF(C52=0,"-",E52/C52*100)</f>
        <v>100</v>
      </c>
    </row>
    <row r="53" customFormat="false" ht="15" hidden="false" customHeight="false" outlineLevel="0" collapsed="false">
      <c r="A53" s="25" t="s">
        <v>183</v>
      </c>
      <c r="B53" s="26" t="s">
        <v>184</v>
      </c>
      <c r="C53" s="27" t="n">
        <f aca="false">SUMIFS(Rashodi_detalji!$L$10:$L$85,Rashodi_detalji!$I$10:$I$85,"381")</f>
        <v>1360</v>
      </c>
      <c r="D53" s="27" t="n">
        <f aca="false">E53-C53</f>
        <v>0</v>
      </c>
      <c r="E53" s="27" t="n">
        <f aca="false">SUMIFS(Rashodi_detalji!$N$10:$N$85,Rashodi_detalji!$I$10:$I$85,"381")</f>
        <v>1360</v>
      </c>
      <c r="F53" s="28" t="n">
        <f aca="false">IF(C53=0,"-",E53/C53*100)</f>
        <v>100</v>
      </c>
    </row>
    <row r="54" customFormat="false" ht="15" hidden="false" customHeight="false" outlineLevel="0" collapsed="false">
      <c r="A54" s="6" t="s">
        <v>185</v>
      </c>
      <c r="B54" s="7" t="s">
        <v>186</v>
      </c>
      <c r="C54" s="8" t="n">
        <f aca="false">SUMIFS(Rashodi_detalji!$L$10:$L$85,Rashodi_detalji!$J$10:$J$85,"3812")</f>
        <v>1360</v>
      </c>
      <c r="D54" s="8" t="n">
        <f aca="false">E54-C54</f>
        <v>0</v>
      </c>
      <c r="E54" s="8" t="n">
        <f aca="false">SUMIFS(Rashodi_detalji!$N$10:$N$85,Rashodi_detalji!$J$10:$J$85,"3812")</f>
        <v>1360</v>
      </c>
      <c r="F54" s="9" t="n">
        <f aca="false">IF(C54=0,"-",E54/C54*100)</f>
        <v>100</v>
      </c>
    </row>
    <row r="55" customFormat="false" ht="15" hidden="false" customHeight="false" outlineLevel="0" collapsed="false">
      <c r="A55" s="19" t="s">
        <v>21</v>
      </c>
      <c r="B55" s="20" t="s">
        <v>22</v>
      </c>
      <c r="C55" s="21" t="n">
        <f aca="false">SUMIFS(Rashodi_detalji!$L$10:$L$85,Rashodi_detalji!$G$10:$G$85,"4")</f>
        <v>63015.01</v>
      </c>
      <c r="D55" s="21" t="n">
        <f aca="false">E55-C55</f>
        <v>37885.56</v>
      </c>
      <c r="E55" s="21" t="n">
        <f aca="false">SUMIFS(Rashodi_detalji!$N$10:$N$85,Rashodi_detalji!$G$10:$G$85,"4")</f>
        <v>100900.57</v>
      </c>
      <c r="F55" s="22" t="n">
        <f aca="false">IF(C55=0,"-",E55/C55*100)</f>
        <v>160.12148534135</v>
      </c>
    </row>
    <row r="56" customFormat="false" ht="15" hidden="false" customHeight="false" outlineLevel="0" collapsed="false">
      <c r="A56" s="11" t="s">
        <v>187</v>
      </c>
      <c r="B56" s="12" t="s">
        <v>188</v>
      </c>
      <c r="C56" s="13" t="n">
        <f aca="false">SUMIFS(Rashodi_detalji!$L$10:$L$85,Rashodi_detalji!$H$10:$H$85,"42")</f>
        <v>51070.01</v>
      </c>
      <c r="D56" s="13" t="n">
        <f aca="false">E56-C56</f>
        <v>36963.23</v>
      </c>
      <c r="E56" s="13" t="n">
        <f aca="false">SUMIFS(Rashodi_detalji!$N$10:$N$85,Rashodi_detalji!$H$10:$H$85,"42")</f>
        <v>88033.24</v>
      </c>
      <c r="F56" s="14" t="n">
        <f aca="false">IF(C56=0,"-",E56/C56*100)</f>
        <v>172.377565620214</v>
      </c>
    </row>
    <row r="57" customFormat="false" ht="15" hidden="false" customHeight="false" outlineLevel="0" collapsed="false">
      <c r="A57" s="25" t="s">
        <v>189</v>
      </c>
      <c r="B57" s="26" t="s">
        <v>190</v>
      </c>
      <c r="C57" s="27" t="n">
        <f aca="false">SUMIFS(Rashodi_detalji!$L$10:$L$85,Rashodi_detalji!$I$10:$I$85,"422")</f>
        <v>4000</v>
      </c>
      <c r="D57" s="27" t="n">
        <f aca="false">E57-C57</f>
        <v>5907.43</v>
      </c>
      <c r="E57" s="27" t="n">
        <f aca="false">SUMIFS(Rashodi_detalji!$N$10:$N$85,Rashodi_detalji!$I$10:$I$85,"422")</f>
        <v>9907.43</v>
      </c>
      <c r="F57" s="28" t="n">
        <f aca="false">IF(C57=0,"-",E57/C57*100)</f>
        <v>247.68575</v>
      </c>
    </row>
    <row r="58" customFormat="false" ht="15" hidden="false" customHeight="false" outlineLevel="0" collapsed="false">
      <c r="A58" s="6" t="s">
        <v>191</v>
      </c>
      <c r="B58" s="7" t="s">
        <v>192</v>
      </c>
      <c r="C58" s="8" t="n">
        <f aca="false">SUMIFS(Rashodi_detalji!$L$10:$L$85,Rashodi_detalji!$J$10:$J$85,"4221")</f>
        <v>2000</v>
      </c>
      <c r="D58" s="8" t="n">
        <f aca="false">E58-C58</f>
        <v>3500</v>
      </c>
      <c r="E58" s="8" t="n">
        <f aca="false">SUMIFS(Rashodi_detalji!$N$10:$N$85,Rashodi_detalji!$J$10:$J$85,"4221")</f>
        <v>5500</v>
      </c>
      <c r="F58" s="9" t="n">
        <f aca="false">IF(C58=0,"-",E58/C58*100)</f>
        <v>275</v>
      </c>
    </row>
    <row r="59" customFormat="false" ht="15" hidden="false" customHeight="false" outlineLevel="0" collapsed="false">
      <c r="A59" s="6" t="s">
        <v>193</v>
      </c>
      <c r="B59" s="7" t="s">
        <v>194</v>
      </c>
      <c r="C59" s="8" t="n">
        <f aca="false">SUMIFS(Rashodi_detalji!$L$10:$L$85,Rashodi_detalji!$J$10:$J$85,"4227")</f>
        <v>2000</v>
      </c>
      <c r="D59" s="8" t="n">
        <f aca="false">E59-C59</f>
        <v>2407.43</v>
      </c>
      <c r="E59" s="8" t="n">
        <f aca="false">SUMIFS(Rashodi_detalji!$N$10:$N$85,Rashodi_detalji!$J$10:$J$85,"4227")</f>
        <v>4407.43</v>
      </c>
      <c r="F59" s="9" t="n">
        <f aca="false">IF(C59=0,"-",E59/C59*100)</f>
        <v>220.3715</v>
      </c>
    </row>
    <row r="60" customFormat="false" ht="15" hidden="false" customHeight="false" outlineLevel="0" collapsed="false">
      <c r="A60" s="25" t="s">
        <v>195</v>
      </c>
      <c r="B60" s="26" t="s">
        <v>196</v>
      </c>
      <c r="C60" s="27" t="n">
        <f aca="false">SUMIFS(Rashodi_detalji!$L$10:$L$85,Rashodi_detalji!$I$10:$I$85,"424")</f>
        <v>31800</v>
      </c>
      <c r="D60" s="27" t="n">
        <f aca="false">E60-C60</f>
        <v>31055.8</v>
      </c>
      <c r="E60" s="27" t="n">
        <f aca="false">SUMIFS(Rashodi_detalji!$N$10:$N$85,Rashodi_detalji!$I$10:$I$85,"424")</f>
        <v>62855.8</v>
      </c>
      <c r="F60" s="28" t="n">
        <f aca="false">IF(C60=0,"-",E60/C60*100)</f>
        <v>197.659748427673</v>
      </c>
    </row>
    <row r="61" customFormat="false" ht="15" hidden="false" customHeight="false" outlineLevel="0" collapsed="false">
      <c r="A61" s="6" t="s">
        <v>197</v>
      </c>
      <c r="B61" s="7" t="s">
        <v>198</v>
      </c>
      <c r="C61" s="8" t="n">
        <f aca="false">SUMIFS(Rashodi_detalji!$L$10:$L$85,Rashodi_detalji!$J$10:$J$85,"4241")</f>
        <v>31800</v>
      </c>
      <c r="D61" s="8" t="n">
        <f aca="false">E61-C61</f>
        <v>31055.8</v>
      </c>
      <c r="E61" s="8" t="n">
        <f aca="false">SUMIFS(Rashodi_detalji!$N$10:$N$85,Rashodi_detalji!$J$10:$J$85,"4241")</f>
        <v>62855.8</v>
      </c>
      <c r="F61" s="9" t="n">
        <f aca="false">IF(C61=0,"-",E61/C61*100)</f>
        <v>197.659748427673</v>
      </c>
    </row>
    <row r="62" customFormat="false" ht="15" hidden="false" customHeight="false" outlineLevel="0" collapsed="false">
      <c r="A62" s="25" t="s">
        <v>199</v>
      </c>
      <c r="B62" s="26" t="s">
        <v>200</v>
      </c>
      <c r="C62" s="27" t="n">
        <f aca="false">SUMIFS(Rashodi_detalji!$L$10:$L$85,Rashodi_detalji!$I$10:$I$85,"426")</f>
        <v>15270.01</v>
      </c>
      <c r="D62" s="27" t="n">
        <f aca="false">E62-C62</f>
        <v>0</v>
      </c>
      <c r="E62" s="27" t="n">
        <f aca="false">SUMIFS(Rashodi_detalji!$N$10:$N$85,Rashodi_detalji!$I$10:$I$85,"426")</f>
        <v>15270.01</v>
      </c>
      <c r="F62" s="28" t="n">
        <f aca="false">IF(C62=0,"-",E62/C62*100)</f>
        <v>100</v>
      </c>
    </row>
    <row r="63" customFormat="false" ht="15" hidden="false" customHeight="false" outlineLevel="0" collapsed="false">
      <c r="A63" s="6" t="s">
        <v>201</v>
      </c>
      <c r="B63" s="7" t="s">
        <v>202</v>
      </c>
      <c r="C63" s="8" t="n">
        <f aca="false">SUMIFS(Rashodi_detalji!$L$10:$L$85,Rashodi_detalji!$J$10:$J$85,"4264")</f>
        <v>15270.01</v>
      </c>
      <c r="D63" s="8" t="n">
        <f aca="false">E63-C63</f>
        <v>0</v>
      </c>
      <c r="E63" s="8" t="n">
        <f aca="false">SUMIFS(Rashodi_detalji!$N$10:$N$85,Rashodi_detalji!$J$10:$J$85,"4264")</f>
        <v>15270.01</v>
      </c>
      <c r="F63" s="9" t="n">
        <f aca="false">IF(C63=0,"-",E63/C63*100)</f>
        <v>100</v>
      </c>
    </row>
    <row r="64" customFormat="false" ht="15" hidden="false" customHeight="false" outlineLevel="0" collapsed="false">
      <c r="A64" s="11" t="s">
        <v>203</v>
      </c>
      <c r="B64" s="12" t="s">
        <v>204</v>
      </c>
      <c r="C64" s="13" t="n">
        <f aca="false">SUMIFS(Rashodi_detalji!$L$10:$L$85,Rashodi_detalji!$H$10:$H$85,"45")</f>
        <v>11945</v>
      </c>
      <c r="D64" s="13" t="n">
        <f aca="false">E64-C64</f>
        <v>922.33</v>
      </c>
      <c r="E64" s="13" t="n">
        <f aca="false">SUMIFS(Rashodi_detalji!$N$10:$N$85,Rashodi_detalji!$H$10:$H$85,"45")</f>
        <v>12867.33</v>
      </c>
      <c r="F64" s="14" t="n">
        <f aca="false">IF(C64=0,"-",E64/C64*100)</f>
        <v>107.721473419841</v>
      </c>
    </row>
    <row r="65" customFormat="false" ht="15" hidden="false" customHeight="false" outlineLevel="0" collapsed="false">
      <c r="A65" s="25" t="s">
        <v>205</v>
      </c>
      <c r="B65" s="26" t="s">
        <v>206</v>
      </c>
      <c r="C65" s="27" t="n">
        <f aca="false">SUMIFS(Rashodi_detalji!$L$10:$L$85,Rashodi_detalji!$I$10:$I$85,"451")</f>
        <v>11945</v>
      </c>
      <c r="D65" s="27" t="n">
        <f aca="false">E65-C65</f>
        <v>922.33</v>
      </c>
      <c r="E65" s="27" t="n">
        <f aca="false">SUMIFS(Rashodi_detalji!$N$10:$N$85,Rashodi_detalji!$I$10:$I$85,"451")</f>
        <v>12867.33</v>
      </c>
      <c r="F65" s="28" t="n">
        <f aca="false">IF(C65=0,"-",E65/C65*100)</f>
        <v>107.721473419841</v>
      </c>
    </row>
    <row r="66" customFormat="false" ht="15" hidden="false" customHeight="false" outlineLevel="0" collapsed="false">
      <c r="A66" s="6" t="s">
        <v>207</v>
      </c>
      <c r="B66" s="7" t="s">
        <v>206</v>
      </c>
      <c r="C66" s="8" t="n">
        <f aca="false">SUMIFS(Rashodi_detalji!$L$10:$L$85,Rashodi_detalji!$J$10:$J$85,"4511")</f>
        <v>11945</v>
      </c>
      <c r="D66" s="8" t="n">
        <f aca="false">E66-C66</f>
        <v>922.33</v>
      </c>
      <c r="E66" s="8" t="n">
        <f aca="false">SUMIFS(Rashodi_detalji!$N$10:$N$85,Rashodi_detalji!$J$10:$J$85,"4511")</f>
        <v>12867.33</v>
      </c>
      <c r="F66" s="9" t="n">
        <f aca="false">IF(C66=0,"-",E66/C66*100)</f>
        <v>107.721473419841</v>
      </c>
    </row>
    <row r="67" customFormat="false" ht="15" hidden="false" customHeight="false" outlineLevel="0" collapsed="false">
      <c r="A67" s="19"/>
      <c r="B67" s="20" t="s">
        <v>208</v>
      </c>
      <c r="C67" s="21" t="n">
        <f aca="false">C10+C55</f>
        <v>2927619.56</v>
      </c>
      <c r="D67" s="21" t="n">
        <f aca="false">E67-C67</f>
        <v>361810.42</v>
      </c>
      <c r="E67" s="21" t="n">
        <f aca="false">E10+E55</f>
        <v>3289429.98</v>
      </c>
      <c r="F67" s="22" t="n">
        <f aca="false">IF(C67=0,"-",E67/C67*100)</f>
        <v>112.358519014677</v>
      </c>
    </row>
  </sheetData>
  <mergeCells count="2">
    <mergeCell ref="A6:F6"/>
    <mergeCell ref="A7:F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5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60"/>
    <col collapsed="false" customWidth="true" hidden="false" outlineLevel="0" max="6" min="3" style="0" width="16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209</v>
      </c>
      <c r="B6" s="3"/>
      <c r="C6" s="3"/>
      <c r="D6" s="3"/>
      <c r="E6" s="3"/>
      <c r="F6" s="3"/>
    </row>
    <row r="7" customFormat="false" ht="15" hidden="false" customHeight="false" outlineLevel="0" collapsed="false">
      <c r="A7" s="4" t="s">
        <v>49</v>
      </c>
      <c r="B7" s="4"/>
      <c r="C7" s="4"/>
      <c r="D7" s="4"/>
      <c r="E7" s="4"/>
      <c r="F7" s="4"/>
    </row>
    <row r="9" customFormat="false" ht="30" hidden="false" customHeight="true" outlineLevel="0" collapsed="false">
      <c r="A9" s="5" t="s">
        <v>210</v>
      </c>
      <c r="B9" s="5" t="s">
        <v>211</v>
      </c>
      <c r="C9" s="5" t="s">
        <v>8</v>
      </c>
      <c r="D9" s="5" t="s">
        <v>9</v>
      </c>
      <c r="E9" s="5" t="s">
        <v>10</v>
      </c>
      <c r="F9" s="5" t="s">
        <v>11</v>
      </c>
    </row>
    <row r="10" customFormat="false" ht="15" hidden="false" customHeight="false" outlineLevel="0" collapsed="false">
      <c r="A10" s="11" t="s">
        <v>212</v>
      </c>
      <c r="B10" s="12" t="s">
        <v>213</v>
      </c>
      <c r="C10" s="13" t="n">
        <f aca="false">SUMIFS(Prihodi_detalji!$J$10:$J$25,Prihodi_detalji!$F$10:$F$25,"11")</f>
        <v>55479.85</v>
      </c>
      <c r="D10" s="13" t="n">
        <f aca="false">E10-C10</f>
        <v>6790.16</v>
      </c>
      <c r="E10" s="13" t="n">
        <f aca="false">SUMIFS(Prihodi_detalji!$L$10:$L$25,Prihodi_detalji!$F$10:$F$25,"11")</f>
        <v>62270.01</v>
      </c>
      <c r="F10" s="14" t="n">
        <f aca="false">IF(C10=0,"-",E10/C10*100)</f>
        <v>112.238966039021</v>
      </c>
    </row>
    <row r="11" customFormat="false" ht="15" hidden="false" customHeight="false" outlineLevel="0" collapsed="false">
      <c r="A11" s="6" t="s">
        <v>214</v>
      </c>
      <c r="B11" s="7" t="s">
        <v>215</v>
      </c>
      <c r="C11" s="8" t="n">
        <f aca="false">SUMIFS(Prihodi_detalji!$J$10:$J$25,Prihodi_detalji!$G$10:$G$25,"110")</f>
        <v>55479.85</v>
      </c>
      <c r="D11" s="8" t="n">
        <f aca="false">E11-C11</f>
        <v>6790.16</v>
      </c>
      <c r="E11" s="8" t="n">
        <f aca="false">SUMIFS(Prihodi_detalji!$L$10:$L$25,Prihodi_detalji!$G$10:$G$25,"110")</f>
        <v>62270.01</v>
      </c>
      <c r="F11" s="9" t="n">
        <f aca="false">IF(C11=0,"-",E11/C11*100)</f>
        <v>112.238966039021</v>
      </c>
    </row>
    <row r="12" customFormat="false" ht="15" hidden="false" customHeight="false" outlineLevel="0" collapsed="false">
      <c r="A12" s="11" t="s">
        <v>216</v>
      </c>
      <c r="B12" s="12" t="s">
        <v>217</v>
      </c>
      <c r="C12" s="13" t="n">
        <f aca="false">SUMIFS(Prihodi_detalji!$J$10:$J$25,Prihodi_detalji!$F$10:$F$25,"19")</f>
        <v>18349.55</v>
      </c>
      <c r="D12" s="13" t="n">
        <f aca="false">E12-C12</f>
        <v>-18349.55</v>
      </c>
      <c r="E12" s="13" t="n">
        <f aca="false">SUMIFS(Prihodi_detalji!$L$10:$L$25,Prihodi_detalji!$F$10:$F$25,"19")</f>
        <v>0</v>
      </c>
      <c r="F12" s="14" t="n">
        <f aca="false">IF(C12=0,"-",E12/C12*100)</f>
        <v>0</v>
      </c>
    </row>
    <row r="13" customFormat="false" ht="15" hidden="false" customHeight="false" outlineLevel="0" collapsed="false">
      <c r="A13" s="6" t="s">
        <v>218</v>
      </c>
      <c r="B13" s="7" t="s">
        <v>219</v>
      </c>
      <c r="C13" s="8" t="n">
        <f aca="false">SUMIFS(Prihodi_detalji!$J$10:$J$25,Prihodi_detalji!$G$10:$G$25,"195062")</f>
        <v>18349.55</v>
      </c>
      <c r="D13" s="8" t="n">
        <f aca="false">E13-C13</f>
        <v>-18349.55</v>
      </c>
      <c r="E13" s="8" t="n">
        <f aca="false">SUMIFS(Prihodi_detalji!$L$10:$L$25,Prihodi_detalji!$G$10:$G$25,"195062")</f>
        <v>0</v>
      </c>
      <c r="F13" s="9" t="n">
        <f aca="false">IF(C13=0,"-",E13/C13*100)</f>
        <v>0</v>
      </c>
    </row>
    <row r="14" customFormat="false" ht="15" hidden="false" customHeight="false" outlineLevel="0" collapsed="false">
      <c r="A14" s="11" t="s">
        <v>100</v>
      </c>
      <c r="B14" s="12" t="s">
        <v>220</v>
      </c>
      <c r="C14" s="13" t="n">
        <f aca="false">SUMIFS(Prihodi_detalji!$J$10:$J$25,Prihodi_detalji!$F$10:$F$25,"31")</f>
        <v>21748.07</v>
      </c>
      <c r="D14" s="13" t="n">
        <f aca="false">E14-C14</f>
        <v>-200</v>
      </c>
      <c r="E14" s="13" t="n">
        <f aca="false">SUMIFS(Prihodi_detalji!$L$10:$L$25,Prihodi_detalji!$F$10:$F$25,"31")</f>
        <v>21548.07</v>
      </c>
      <c r="F14" s="14" t="n">
        <f aca="false">IF(C14=0,"-",E14/C14*100)</f>
        <v>99.0803781668902</v>
      </c>
    </row>
    <row r="15" customFormat="false" ht="15" hidden="false" customHeight="false" outlineLevel="0" collapsed="false">
      <c r="A15" s="6" t="s">
        <v>100</v>
      </c>
      <c r="B15" s="7" t="s">
        <v>221</v>
      </c>
      <c r="C15" s="8" t="n">
        <f aca="false">SUMIFS(Prihodi_detalji!$J$10:$J$25,Prihodi_detalji!$G$10:$G$25,"31")</f>
        <v>21748.07</v>
      </c>
      <c r="D15" s="8" t="n">
        <f aca="false">E15-C15</f>
        <v>-200</v>
      </c>
      <c r="E15" s="8" t="n">
        <f aca="false">SUMIFS(Prihodi_detalji!$L$10:$L$25,Prihodi_detalji!$G$10:$G$25,"31")</f>
        <v>21548.07</v>
      </c>
      <c r="F15" s="9" t="n">
        <f aca="false">IF(C15=0,"-",E15/C15*100)</f>
        <v>99.0803781668902</v>
      </c>
    </row>
    <row r="16" customFormat="false" ht="15" hidden="false" customHeight="false" outlineLevel="0" collapsed="false">
      <c r="A16" s="11" t="s">
        <v>222</v>
      </c>
      <c r="B16" s="12" t="s">
        <v>223</v>
      </c>
      <c r="C16" s="13" t="n">
        <f aca="false">SUMIFS(Prihodi_detalji!$J$10:$J$25,Prihodi_detalji!$F$10:$F$25,"41")</f>
        <v>11100</v>
      </c>
      <c r="D16" s="13" t="n">
        <f aca="false">E16-C16</f>
        <v>6550</v>
      </c>
      <c r="E16" s="13" t="n">
        <f aca="false">SUMIFS(Prihodi_detalji!$L$10:$L$25,Prihodi_detalji!$F$10:$F$25,"41")</f>
        <v>17650</v>
      </c>
      <c r="F16" s="14" t="n">
        <f aca="false">IF(C16=0,"-",E16/C16*100)</f>
        <v>159.009009009009</v>
      </c>
    </row>
    <row r="17" customFormat="false" ht="15" hidden="false" customHeight="false" outlineLevel="0" collapsed="false">
      <c r="A17" s="6" t="s">
        <v>222</v>
      </c>
      <c r="B17" s="7" t="s">
        <v>224</v>
      </c>
      <c r="C17" s="8" t="n">
        <f aca="false">SUMIFS(Prihodi_detalji!$J$10:$J$25,Prihodi_detalji!$G$10:$G$25,"41")</f>
        <v>11100</v>
      </c>
      <c r="D17" s="8" t="n">
        <f aca="false">E17-C17</f>
        <v>6550</v>
      </c>
      <c r="E17" s="8" t="n">
        <f aca="false">SUMIFS(Prihodi_detalji!$L$10:$L$25,Prihodi_detalji!$G$10:$G$25,"41")</f>
        <v>17650</v>
      </c>
      <c r="F17" s="9" t="n">
        <f aca="false">IF(C17=0,"-",E17/C17*100)</f>
        <v>159.009009009009</v>
      </c>
    </row>
    <row r="18" customFormat="false" ht="15" hidden="false" customHeight="false" outlineLevel="0" collapsed="false">
      <c r="A18" s="11" t="s">
        <v>187</v>
      </c>
      <c r="B18" s="12" t="s">
        <v>225</v>
      </c>
      <c r="C18" s="13" t="n">
        <f aca="false">SUMIFS(Prihodi_detalji!$J$10:$J$25,Prihodi_detalji!$F$10:$F$25,"42")</f>
        <v>21125</v>
      </c>
      <c r="D18" s="13" t="n">
        <f aca="false">E18-C18</f>
        <v>32957.53</v>
      </c>
      <c r="E18" s="13" t="n">
        <f aca="false">SUMIFS(Prihodi_detalji!$L$10:$L$25,Prihodi_detalji!$F$10:$F$25,"42")</f>
        <v>54082.53</v>
      </c>
      <c r="F18" s="14" t="n">
        <f aca="false">IF(C18=0,"-",E18/C18*100)</f>
        <v>256.011976331361</v>
      </c>
    </row>
    <row r="19" customFormat="false" ht="15" hidden="false" customHeight="false" outlineLevel="0" collapsed="false">
      <c r="A19" s="6" t="s">
        <v>226</v>
      </c>
      <c r="B19" s="7" t="s">
        <v>227</v>
      </c>
      <c r="C19" s="8" t="n">
        <f aca="false">SUMIFS(Prihodi_detalji!$J$10:$J$25,Prihodi_detalji!$G$10:$G$25,"42034")</f>
        <v>21125</v>
      </c>
      <c r="D19" s="8" t="n">
        <f aca="false">E19-C19</f>
        <v>32957.53</v>
      </c>
      <c r="E19" s="8" t="n">
        <f aca="false">SUMIFS(Prihodi_detalji!$L$10:$L$25,Prihodi_detalji!$G$10:$G$25,"42034")</f>
        <v>54082.53</v>
      </c>
      <c r="F19" s="9" t="n">
        <f aca="false">IF(C19=0,"-",E19/C19*100)</f>
        <v>256.011976331361</v>
      </c>
    </row>
    <row r="20" customFormat="false" ht="15" hidden="false" customHeight="false" outlineLevel="0" collapsed="false">
      <c r="A20" s="11" t="s">
        <v>203</v>
      </c>
      <c r="B20" s="12" t="s">
        <v>228</v>
      </c>
      <c r="C20" s="13" t="n">
        <f aca="false">SUMIFS(Prihodi_detalji!$J$10:$J$25,Prihodi_detalji!$F$10:$F$25,"45")</f>
        <v>450313.98</v>
      </c>
      <c r="D20" s="13" t="n">
        <f aca="false">E20-C20</f>
        <v>-45152.98</v>
      </c>
      <c r="E20" s="13" t="n">
        <f aca="false">SUMIFS(Prihodi_detalji!$L$10:$L$25,Prihodi_detalji!$F$10:$F$25,"45")</f>
        <v>405161</v>
      </c>
      <c r="F20" s="14" t="n">
        <f aca="false">IF(C20=0,"-",E20/C20*100)</f>
        <v>89.9730006161479</v>
      </c>
    </row>
    <row r="21" customFormat="false" ht="15" hidden="false" customHeight="false" outlineLevel="0" collapsed="false">
      <c r="A21" s="6" t="s">
        <v>205</v>
      </c>
      <c r="B21" s="7" t="s">
        <v>229</v>
      </c>
      <c r="C21" s="8" t="n">
        <f aca="false">SUMIFS(Prihodi_detalji!$J$10:$J$25,Prihodi_detalji!$G$10:$G$25,"451")</f>
        <v>450313.98</v>
      </c>
      <c r="D21" s="8" t="n">
        <f aca="false">E21-C21</f>
        <v>-45152.98</v>
      </c>
      <c r="E21" s="8" t="n">
        <f aca="false">SUMIFS(Prihodi_detalji!$L$10:$L$25,Prihodi_detalji!$G$10:$G$25,"451")</f>
        <v>405161</v>
      </c>
      <c r="F21" s="9" t="n">
        <f aca="false">IF(C21=0,"-",E21/C21*100)</f>
        <v>89.9730006161479</v>
      </c>
    </row>
    <row r="22" customFormat="false" ht="15" hidden="false" customHeight="false" outlineLevel="0" collapsed="false">
      <c r="A22" s="11" t="s">
        <v>230</v>
      </c>
      <c r="B22" s="12" t="s">
        <v>231</v>
      </c>
      <c r="C22" s="13" t="n">
        <f aca="false">SUMIFS(Prihodi_detalji!$J$10:$J$25,Prihodi_detalji!$F$10:$F$25,"51")</f>
        <v>2256284.48</v>
      </c>
      <c r="D22" s="13" t="n">
        <f aca="false">E22-C22</f>
        <v>376001.73</v>
      </c>
      <c r="E22" s="13" t="n">
        <f aca="false">SUMIFS(Prihodi_detalji!$L$10:$L$25,Prihodi_detalji!$F$10:$F$25,"51")</f>
        <v>2632286.21</v>
      </c>
      <c r="F22" s="14" t="n">
        <f aca="false">IF(C22=0,"-",E22/C22*100)</f>
        <v>116.664641951533</v>
      </c>
    </row>
    <row r="23" customFormat="false" ht="15" hidden="false" customHeight="false" outlineLevel="0" collapsed="false">
      <c r="A23" s="6" t="s">
        <v>232</v>
      </c>
      <c r="B23" s="7" t="s">
        <v>233</v>
      </c>
      <c r="C23" s="8" t="n">
        <f aca="false">SUMIFS(Prihodi_detalji!$J$10:$J$25,Prihodi_detalji!$G$10:$G$25,"5103")</f>
        <v>3500</v>
      </c>
      <c r="D23" s="8" t="n">
        <f aca="false">E23-C23</f>
        <v>0</v>
      </c>
      <c r="E23" s="8" t="n">
        <f aca="false">SUMIFS(Prihodi_detalji!$L$10:$L$25,Prihodi_detalji!$G$10:$G$25,"5103")</f>
        <v>3500</v>
      </c>
      <c r="F23" s="9" t="n">
        <f aca="false">IF(C23=0,"-",E23/C23*100)</f>
        <v>100</v>
      </c>
    </row>
    <row r="24" customFormat="false" ht="15" hidden="false" customHeight="false" outlineLevel="0" collapsed="false">
      <c r="A24" s="6" t="s">
        <v>234</v>
      </c>
      <c r="B24" s="7" t="s">
        <v>235</v>
      </c>
      <c r="C24" s="8" t="n">
        <f aca="false">SUMIFS(Prihodi_detalji!$J$10:$J$25,Prihodi_detalji!$G$10:$G$25,"51034")</f>
        <v>31800</v>
      </c>
      <c r="D24" s="8" t="n">
        <f aca="false">E24-C24</f>
        <v>0</v>
      </c>
      <c r="E24" s="8" t="n">
        <f aca="false">SUMIFS(Prihodi_detalji!$L$10:$L$25,Prihodi_detalji!$G$10:$G$25,"51034")</f>
        <v>31800</v>
      </c>
      <c r="F24" s="9" t="n">
        <f aca="false">IF(C24=0,"-",E24/C24*100)</f>
        <v>100</v>
      </c>
    </row>
    <row r="25" customFormat="false" ht="15" hidden="false" customHeight="false" outlineLevel="0" collapsed="false">
      <c r="A25" s="6" t="s">
        <v>236</v>
      </c>
      <c r="B25" s="7" t="s">
        <v>237</v>
      </c>
      <c r="C25" s="8" t="n">
        <f aca="false">SUMIFS(Prihodi_detalji!$J$10:$J$25,Prihodi_detalji!$G$10:$G$25,"51035")</f>
        <v>2109879.17</v>
      </c>
      <c r="D25" s="8" t="n">
        <f aca="false">E25-C25</f>
        <v>370270.83</v>
      </c>
      <c r="E25" s="8" t="n">
        <f aca="false">SUMIFS(Prihodi_detalji!$L$10:$L$25,Prihodi_detalji!$G$10:$G$25,"51035")</f>
        <v>2480150</v>
      </c>
      <c r="F25" s="9" t="n">
        <f aca="false">IF(C25=0,"-",E25/C25*100)</f>
        <v>117.549385541353</v>
      </c>
    </row>
    <row r="26" customFormat="false" ht="15" hidden="false" customHeight="false" outlineLevel="0" collapsed="false">
      <c r="A26" s="6" t="s">
        <v>238</v>
      </c>
      <c r="B26" s="7" t="s">
        <v>239</v>
      </c>
      <c r="C26" s="8" t="n">
        <f aca="false">SUMIFS(Prihodi_detalji!$J$10:$J$25,Prihodi_detalji!$G$10:$G$25,"51038")</f>
        <v>9745.31</v>
      </c>
      <c r="D26" s="8" t="n">
        <f aca="false">E26-C26</f>
        <v>5730.9</v>
      </c>
      <c r="E26" s="8" t="n">
        <f aca="false">SUMIFS(Prihodi_detalji!$L$10:$L$25,Prihodi_detalji!$G$10:$G$25,"51038")</f>
        <v>15476.21</v>
      </c>
      <c r="F26" s="9" t="n">
        <f aca="false">IF(C26=0,"-",E26/C26*100)</f>
        <v>158.80674909264</v>
      </c>
    </row>
    <row r="27" customFormat="false" ht="15" hidden="false" customHeight="false" outlineLevel="0" collapsed="false">
      <c r="A27" s="6" t="s">
        <v>240</v>
      </c>
      <c r="B27" s="7" t="s">
        <v>241</v>
      </c>
      <c r="C27" s="8" t="n">
        <f aca="false">SUMIFS(Prihodi_detalji!$J$10:$J$25,Prihodi_detalji!$G$10:$G$25,"510391")</f>
        <v>100000</v>
      </c>
      <c r="D27" s="8" t="n">
        <f aca="false">E27-C27</f>
        <v>0</v>
      </c>
      <c r="E27" s="8" t="n">
        <f aca="false">SUMIFS(Prihodi_detalji!$L$10:$L$25,Prihodi_detalji!$G$10:$G$25,"510391")</f>
        <v>100000</v>
      </c>
      <c r="F27" s="9" t="n">
        <f aca="false">IF(C27=0,"-",E27/C27*100)</f>
        <v>100</v>
      </c>
    </row>
    <row r="28" customFormat="false" ht="15" hidden="false" customHeight="false" outlineLevel="0" collapsed="false">
      <c r="A28" s="6" t="s">
        <v>242</v>
      </c>
      <c r="B28" s="7" t="s">
        <v>243</v>
      </c>
      <c r="C28" s="8" t="n">
        <f aca="false">SUMIFS(Prihodi_detalji!$J$10:$J$25,Prihodi_detalji!$G$10:$G$25,"511903")</f>
        <v>1360</v>
      </c>
      <c r="D28" s="8" t="n">
        <f aca="false">E28-C28</f>
        <v>0</v>
      </c>
      <c r="E28" s="8" t="n">
        <f aca="false">SUMIFS(Prihodi_detalji!$L$10:$L$25,Prihodi_detalji!$G$10:$G$25,"511903")</f>
        <v>1360</v>
      </c>
      <c r="F28" s="9" t="n">
        <f aca="false">IF(C28=0,"-",E28/C28*100)</f>
        <v>100</v>
      </c>
    </row>
    <row r="29" customFormat="false" ht="15" hidden="false" customHeight="false" outlineLevel="0" collapsed="false">
      <c r="A29" s="11" t="s">
        <v>244</v>
      </c>
      <c r="B29" s="12" t="s">
        <v>245</v>
      </c>
      <c r="C29" s="13" t="n">
        <f aca="false">SUMIFS(Prihodi_detalji!$J$10:$J$25,Prihodi_detalji!$F$10:$F$25,"53")</f>
        <v>57606.47</v>
      </c>
      <c r="D29" s="13" t="n">
        <f aca="false">E29-C29</f>
        <v>3213.53</v>
      </c>
      <c r="E29" s="13" t="n">
        <f aca="false">SUMIFS(Prihodi_detalji!$L$10:$L$25,Prihodi_detalji!$F$10:$F$25,"53")</f>
        <v>60820</v>
      </c>
      <c r="F29" s="14" t="n">
        <f aca="false">IF(C29=0,"-",E29/C29*100)</f>
        <v>105.578418535279</v>
      </c>
    </row>
    <row r="30" customFormat="false" ht="15" hidden="false" customHeight="false" outlineLevel="0" collapsed="false">
      <c r="A30" s="6" t="s">
        <v>244</v>
      </c>
      <c r="B30" s="7" t="s">
        <v>246</v>
      </c>
      <c r="C30" s="8" t="n">
        <f aca="false">SUMIFS(Prihodi_detalji!$J$10:$J$25,Prihodi_detalji!$G$10:$G$25,"53")</f>
        <v>57606.47</v>
      </c>
      <c r="D30" s="8" t="n">
        <f aca="false">E30-C30</f>
        <v>3213.53</v>
      </c>
      <c r="E30" s="8" t="n">
        <f aca="false">SUMIFS(Prihodi_detalji!$L$10:$L$25,Prihodi_detalji!$G$10:$G$25,"53")</f>
        <v>60820</v>
      </c>
      <c r="F30" s="9" t="n">
        <f aca="false">IF(C30=0,"-",E30/C30*100)</f>
        <v>105.578418535279</v>
      </c>
    </row>
    <row r="31" customFormat="false" ht="15" hidden="false" customHeight="false" outlineLevel="0" collapsed="false">
      <c r="A31" s="11" t="s">
        <v>247</v>
      </c>
      <c r="B31" s="12" t="s">
        <v>248</v>
      </c>
      <c r="C31" s="13" t="n">
        <f aca="false">SUMIFS(Prihodi_detalji!$J$10:$J$25,Prihodi_detalji!$F$10:$F$25,"54")</f>
        <v>35612.16</v>
      </c>
      <c r="D31" s="13" t="n">
        <f aca="false">E31-C31</f>
        <v>0</v>
      </c>
      <c r="E31" s="13" t="n">
        <f aca="false">SUMIFS(Prihodi_detalji!$L$10:$L$25,Prihodi_detalji!$F$10:$F$25,"54")</f>
        <v>35612.16</v>
      </c>
      <c r="F31" s="14" t="n">
        <f aca="false">IF(C31=0,"-",E31/C31*100)</f>
        <v>100</v>
      </c>
    </row>
    <row r="32" customFormat="false" ht="15" hidden="false" customHeight="false" outlineLevel="0" collapsed="false">
      <c r="A32" s="6" t="s">
        <v>249</v>
      </c>
      <c r="B32" s="7" t="s">
        <v>250</v>
      </c>
      <c r="C32" s="8" t="n">
        <f aca="false">SUMIFS(Prihodi_detalji!$J$10:$J$25,Prihodi_detalji!$G$10:$G$25,"540099")</f>
        <v>35612.16</v>
      </c>
      <c r="D32" s="8" t="n">
        <f aca="false">E32-C32</f>
        <v>0</v>
      </c>
      <c r="E32" s="8" t="n">
        <f aca="false">SUMIFS(Prihodi_detalji!$L$10:$L$25,Prihodi_detalji!$G$10:$G$25,"540099")</f>
        <v>35612.16</v>
      </c>
      <c r="F32" s="9" t="n">
        <f aca="false">IF(C32=0,"-",E32/C32*100)</f>
        <v>100</v>
      </c>
    </row>
    <row r="33" customFormat="false" ht="15" hidden="false" customHeight="false" outlineLevel="0" collapsed="false">
      <c r="A33" s="19"/>
      <c r="B33" s="20" t="s">
        <v>251</v>
      </c>
      <c r="C33" s="21" t="n">
        <f aca="false">C10+C12+C14+C16+C18+C20+C22+C29+C31</f>
        <v>2927619.56</v>
      </c>
      <c r="D33" s="21" t="n">
        <f aca="false">E33-C33</f>
        <v>361810.42</v>
      </c>
      <c r="E33" s="21" t="n">
        <f aca="false">E10+E12+E14+E16+E18+E20+E22+E29+E31</f>
        <v>3289429.98</v>
      </c>
      <c r="F33" s="22" t="n">
        <f aca="false">IF(C33=0,"-",E33/C33*100)</f>
        <v>112.358519014677</v>
      </c>
    </row>
    <row r="35" customFormat="false" ht="30" hidden="false" customHeight="true" outlineLevel="0" collapsed="false">
      <c r="A35" s="5" t="s">
        <v>210</v>
      </c>
      <c r="B35" s="5" t="s">
        <v>252</v>
      </c>
      <c r="C35" s="5" t="s">
        <v>8</v>
      </c>
      <c r="D35" s="5" t="s">
        <v>9</v>
      </c>
      <c r="E35" s="5" t="s">
        <v>10</v>
      </c>
      <c r="F35" s="5" t="s">
        <v>11</v>
      </c>
    </row>
    <row r="36" customFormat="false" ht="15" hidden="false" customHeight="false" outlineLevel="0" collapsed="false">
      <c r="A36" s="11" t="s">
        <v>212</v>
      </c>
      <c r="B36" s="12" t="s">
        <v>213</v>
      </c>
      <c r="C36" s="13" t="n">
        <f aca="false">SUMIFS(Rashodi_detalji!$L$10:$L$85,Rashodi_detalji!$D$10:$D$85,"11")</f>
        <v>55479.85</v>
      </c>
      <c r="D36" s="13" t="n">
        <f aca="false">E36-C36</f>
        <v>6790.16</v>
      </c>
      <c r="E36" s="13" t="n">
        <f aca="false">SUMIFS(Rashodi_detalji!$N$10:$N$85,Rashodi_detalji!$D$10:$D$85,"11")</f>
        <v>62270.01</v>
      </c>
      <c r="F36" s="14" t="n">
        <f aca="false">IF(C36=0,"-",E36/C36*100)</f>
        <v>112.238966039021</v>
      </c>
    </row>
    <row r="37" customFormat="false" ht="15" hidden="false" customHeight="false" outlineLevel="0" collapsed="false">
      <c r="A37" s="6" t="s">
        <v>214</v>
      </c>
      <c r="B37" s="7" t="s">
        <v>215</v>
      </c>
      <c r="C37" s="8" t="n">
        <f aca="false">SUMIFS(Rashodi_detalji!$L$10:$L$85,Rashodi_detalji!$E$10:$E$85,"110")</f>
        <v>55479.85</v>
      </c>
      <c r="D37" s="8" t="n">
        <f aca="false">E37-C37</f>
        <v>6790.16</v>
      </c>
      <c r="E37" s="8" t="n">
        <f aca="false">SUMIFS(Rashodi_detalji!$N$10:$N$85,Rashodi_detalji!$E$10:$E$85,"110")</f>
        <v>62270.01</v>
      </c>
      <c r="F37" s="9" t="n">
        <f aca="false">IF(C37=0,"-",E37/C37*100)</f>
        <v>112.238966039021</v>
      </c>
    </row>
    <row r="38" customFormat="false" ht="15" hidden="false" customHeight="false" outlineLevel="0" collapsed="false">
      <c r="A38" s="11" t="s">
        <v>216</v>
      </c>
      <c r="B38" s="12" t="s">
        <v>217</v>
      </c>
      <c r="C38" s="13" t="n">
        <f aca="false">SUMIFS(Rashodi_detalji!$L$10:$L$85,Rashodi_detalji!$D$10:$D$85,"19")</f>
        <v>18349.55</v>
      </c>
      <c r="D38" s="13" t="n">
        <f aca="false">E38-C38</f>
        <v>-18349.55</v>
      </c>
      <c r="E38" s="13" t="n">
        <f aca="false">SUMIFS(Rashodi_detalji!$N$10:$N$85,Rashodi_detalji!$D$10:$D$85,"19")</f>
        <v>0</v>
      </c>
      <c r="F38" s="14" t="n">
        <f aca="false">IF(C38=0,"-",E38/C38*100)</f>
        <v>0</v>
      </c>
    </row>
    <row r="39" customFormat="false" ht="15" hidden="false" customHeight="false" outlineLevel="0" collapsed="false">
      <c r="A39" s="6" t="s">
        <v>218</v>
      </c>
      <c r="B39" s="7" t="s">
        <v>219</v>
      </c>
      <c r="C39" s="8" t="n">
        <f aca="false">SUMIFS(Rashodi_detalji!$L$10:$L$85,Rashodi_detalji!$E$10:$E$85,"195062")</f>
        <v>18349.55</v>
      </c>
      <c r="D39" s="8" t="n">
        <f aca="false">E39-C39</f>
        <v>-18349.55</v>
      </c>
      <c r="E39" s="8" t="n">
        <f aca="false">SUMIFS(Rashodi_detalji!$N$10:$N$85,Rashodi_detalji!$E$10:$E$85,"195062")</f>
        <v>0</v>
      </c>
      <c r="F39" s="9" t="n">
        <f aca="false">IF(C39=0,"-",E39/C39*100)</f>
        <v>0</v>
      </c>
    </row>
    <row r="40" customFormat="false" ht="15" hidden="false" customHeight="false" outlineLevel="0" collapsed="false">
      <c r="A40" s="11" t="s">
        <v>100</v>
      </c>
      <c r="B40" s="12" t="s">
        <v>220</v>
      </c>
      <c r="C40" s="13" t="n">
        <f aca="false">SUMIFS(Rashodi_detalji!$L$10:$L$85,Rashodi_detalji!$D$10:$D$85,"31")</f>
        <v>21748.07</v>
      </c>
      <c r="D40" s="13" t="n">
        <f aca="false">E40-C40</f>
        <v>-200</v>
      </c>
      <c r="E40" s="13" t="n">
        <f aca="false">SUMIFS(Rashodi_detalji!$N$10:$N$85,Rashodi_detalji!$D$10:$D$85,"31")</f>
        <v>21548.07</v>
      </c>
      <c r="F40" s="14" t="n">
        <f aca="false">IF(C40=0,"-",E40/C40*100)</f>
        <v>99.0803781668902</v>
      </c>
    </row>
    <row r="41" customFormat="false" ht="15" hidden="false" customHeight="false" outlineLevel="0" collapsed="false">
      <c r="A41" s="6" t="s">
        <v>100</v>
      </c>
      <c r="B41" s="7" t="s">
        <v>221</v>
      </c>
      <c r="C41" s="8" t="n">
        <f aca="false">SUMIFS(Rashodi_detalji!$L$10:$L$85,Rashodi_detalji!$E$10:$E$85,"31")</f>
        <v>21748.07</v>
      </c>
      <c r="D41" s="8" t="n">
        <f aca="false">E41-C41</f>
        <v>-200</v>
      </c>
      <c r="E41" s="8" t="n">
        <f aca="false">SUMIFS(Rashodi_detalji!$N$10:$N$85,Rashodi_detalji!$E$10:$E$85,"31")</f>
        <v>21548.07</v>
      </c>
      <c r="F41" s="9" t="n">
        <f aca="false">IF(C41=0,"-",E41/C41*100)</f>
        <v>99.0803781668902</v>
      </c>
    </row>
    <row r="42" customFormat="false" ht="15" hidden="false" customHeight="false" outlineLevel="0" collapsed="false">
      <c r="A42" s="11" t="s">
        <v>222</v>
      </c>
      <c r="B42" s="12" t="s">
        <v>223</v>
      </c>
      <c r="C42" s="13" t="n">
        <f aca="false">SUMIFS(Rashodi_detalji!$L$10:$L$85,Rashodi_detalji!$D$10:$D$85,"41")</f>
        <v>11100</v>
      </c>
      <c r="D42" s="13" t="n">
        <f aca="false">E42-C42</f>
        <v>6550</v>
      </c>
      <c r="E42" s="13" t="n">
        <f aca="false">SUMIFS(Rashodi_detalji!$N$10:$N$85,Rashodi_detalji!$D$10:$D$85,"41")</f>
        <v>17650</v>
      </c>
      <c r="F42" s="14" t="n">
        <f aca="false">IF(C42=0,"-",E42/C42*100)</f>
        <v>159.009009009009</v>
      </c>
    </row>
    <row r="43" customFormat="false" ht="15" hidden="false" customHeight="false" outlineLevel="0" collapsed="false">
      <c r="A43" s="6" t="s">
        <v>222</v>
      </c>
      <c r="B43" s="7" t="s">
        <v>224</v>
      </c>
      <c r="C43" s="8" t="n">
        <f aca="false">SUMIFS(Rashodi_detalji!$L$10:$L$85,Rashodi_detalji!$E$10:$E$85,"41")</f>
        <v>11100</v>
      </c>
      <c r="D43" s="8" t="n">
        <f aca="false">E43-C43</f>
        <v>6550</v>
      </c>
      <c r="E43" s="8" t="n">
        <f aca="false">SUMIFS(Rashodi_detalji!$N$10:$N$85,Rashodi_detalji!$E$10:$E$85,"41")</f>
        <v>17650</v>
      </c>
      <c r="F43" s="9" t="n">
        <f aca="false">IF(C43=0,"-",E43/C43*100)</f>
        <v>159.009009009009</v>
      </c>
    </row>
    <row r="44" customFormat="false" ht="15" hidden="false" customHeight="false" outlineLevel="0" collapsed="false">
      <c r="A44" s="11" t="s">
        <v>187</v>
      </c>
      <c r="B44" s="12" t="s">
        <v>225</v>
      </c>
      <c r="C44" s="13" t="n">
        <f aca="false">SUMIFS(Rashodi_detalji!$L$10:$L$85,Rashodi_detalji!$D$10:$D$85,"42")</f>
        <v>21125</v>
      </c>
      <c r="D44" s="13" t="n">
        <f aca="false">E44-C44</f>
        <v>32957.53</v>
      </c>
      <c r="E44" s="13" t="n">
        <f aca="false">SUMIFS(Rashodi_detalji!$N$10:$N$85,Rashodi_detalji!$D$10:$D$85,"42")</f>
        <v>54082.53</v>
      </c>
      <c r="F44" s="14" t="n">
        <f aca="false">IF(C44=0,"-",E44/C44*100)</f>
        <v>256.011976331361</v>
      </c>
    </row>
    <row r="45" customFormat="false" ht="15" hidden="false" customHeight="false" outlineLevel="0" collapsed="false">
      <c r="A45" s="6" t="s">
        <v>226</v>
      </c>
      <c r="B45" s="7" t="s">
        <v>227</v>
      </c>
      <c r="C45" s="8" t="n">
        <f aca="false">SUMIFS(Rashodi_detalji!$L$10:$L$85,Rashodi_detalji!$E$10:$E$85,"42034")</f>
        <v>21125</v>
      </c>
      <c r="D45" s="8" t="n">
        <f aca="false">E45-C45</f>
        <v>32957.53</v>
      </c>
      <c r="E45" s="8" t="n">
        <f aca="false">SUMIFS(Rashodi_detalji!$N$10:$N$85,Rashodi_detalji!$E$10:$E$85,"42034")</f>
        <v>54082.53</v>
      </c>
      <c r="F45" s="9" t="n">
        <f aca="false">IF(C45=0,"-",E45/C45*100)</f>
        <v>256.011976331361</v>
      </c>
    </row>
    <row r="46" customFormat="false" ht="15" hidden="false" customHeight="false" outlineLevel="0" collapsed="false">
      <c r="A46" s="11" t="s">
        <v>203</v>
      </c>
      <c r="B46" s="12" t="s">
        <v>228</v>
      </c>
      <c r="C46" s="13" t="n">
        <f aca="false">SUMIFS(Rashodi_detalji!$L$10:$L$85,Rashodi_detalji!$D$10:$D$85,"45")</f>
        <v>450313.98</v>
      </c>
      <c r="D46" s="13" t="n">
        <f aca="false">E46-C46</f>
        <v>-45152.98</v>
      </c>
      <c r="E46" s="13" t="n">
        <f aca="false">SUMIFS(Rashodi_detalji!$N$10:$N$85,Rashodi_detalji!$D$10:$D$85,"45")</f>
        <v>405161</v>
      </c>
      <c r="F46" s="14" t="n">
        <f aca="false">IF(C46=0,"-",E46/C46*100)</f>
        <v>89.9730006161479</v>
      </c>
    </row>
    <row r="47" customFormat="false" ht="15" hidden="false" customHeight="false" outlineLevel="0" collapsed="false">
      <c r="A47" s="6" t="s">
        <v>205</v>
      </c>
      <c r="B47" s="7" t="s">
        <v>229</v>
      </c>
      <c r="C47" s="8" t="n">
        <f aca="false">SUMIFS(Rashodi_detalji!$L$10:$L$85,Rashodi_detalji!$E$10:$E$85,"451")</f>
        <v>450313.98</v>
      </c>
      <c r="D47" s="8" t="n">
        <f aca="false">E47-C47</f>
        <v>-45152.98</v>
      </c>
      <c r="E47" s="8" t="n">
        <f aca="false">SUMIFS(Rashodi_detalji!$N$10:$N$85,Rashodi_detalji!$E$10:$E$85,"451")</f>
        <v>405161</v>
      </c>
      <c r="F47" s="9" t="n">
        <f aca="false">IF(C47=0,"-",E47/C47*100)</f>
        <v>89.9730006161479</v>
      </c>
    </row>
    <row r="48" customFormat="false" ht="15" hidden="false" customHeight="false" outlineLevel="0" collapsed="false">
      <c r="A48" s="11" t="s">
        <v>230</v>
      </c>
      <c r="B48" s="12" t="s">
        <v>231</v>
      </c>
      <c r="C48" s="13" t="n">
        <f aca="false">SUMIFS(Rashodi_detalji!$L$10:$L$85,Rashodi_detalji!$D$10:$D$85,"51")</f>
        <v>2256284.48</v>
      </c>
      <c r="D48" s="13" t="n">
        <f aca="false">E48-C48</f>
        <v>376001.73</v>
      </c>
      <c r="E48" s="13" t="n">
        <f aca="false">SUMIFS(Rashodi_detalji!$N$10:$N$85,Rashodi_detalji!$D$10:$D$85,"51")</f>
        <v>2632286.21</v>
      </c>
      <c r="F48" s="14" t="n">
        <f aca="false">IF(C48=0,"-",E48/C48*100)</f>
        <v>116.664641951533</v>
      </c>
    </row>
    <row r="49" customFormat="false" ht="15" hidden="false" customHeight="false" outlineLevel="0" collapsed="false">
      <c r="A49" s="6" t="s">
        <v>232</v>
      </c>
      <c r="B49" s="7" t="s">
        <v>233</v>
      </c>
      <c r="C49" s="8" t="n">
        <f aca="false">SUMIFS(Rashodi_detalji!$L$10:$L$85,Rashodi_detalji!$E$10:$E$85,"5103")</f>
        <v>3500</v>
      </c>
      <c r="D49" s="8" t="n">
        <f aca="false">E49-C49</f>
        <v>0</v>
      </c>
      <c r="E49" s="8" t="n">
        <f aca="false">SUMIFS(Rashodi_detalji!$N$10:$N$85,Rashodi_detalji!$E$10:$E$85,"5103")</f>
        <v>3500</v>
      </c>
      <c r="F49" s="9" t="n">
        <f aca="false">IF(C49=0,"-",E49/C49*100)</f>
        <v>100</v>
      </c>
    </row>
    <row r="50" customFormat="false" ht="15" hidden="false" customHeight="false" outlineLevel="0" collapsed="false">
      <c r="A50" s="6" t="s">
        <v>234</v>
      </c>
      <c r="B50" s="7" t="s">
        <v>235</v>
      </c>
      <c r="C50" s="8" t="n">
        <f aca="false">SUMIFS(Rashodi_detalji!$L$10:$L$85,Rashodi_detalji!$E$10:$E$85,"51034")</f>
        <v>31800</v>
      </c>
      <c r="D50" s="8" t="n">
        <f aca="false">E50-C50</f>
        <v>0</v>
      </c>
      <c r="E50" s="8" t="n">
        <f aca="false">SUMIFS(Rashodi_detalji!$N$10:$N$85,Rashodi_detalji!$E$10:$E$85,"51034")</f>
        <v>31800</v>
      </c>
      <c r="F50" s="9" t="n">
        <f aca="false">IF(C50=0,"-",E50/C50*100)</f>
        <v>100</v>
      </c>
    </row>
    <row r="51" customFormat="false" ht="15" hidden="false" customHeight="false" outlineLevel="0" collapsed="false">
      <c r="A51" s="6" t="s">
        <v>236</v>
      </c>
      <c r="B51" s="7" t="s">
        <v>237</v>
      </c>
      <c r="C51" s="8" t="n">
        <f aca="false">SUMIFS(Rashodi_detalji!$L$10:$L$85,Rashodi_detalji!$E$10:$E$85,"51035")</f>
        <v>2109879.17</v>
      </c>
      <c r="D51" s="8" t="n">
        <f aca="false">E51-C51</f>
        <v>370270.83</v>
      </c>
      <c r="E51" s="8" t="n">
        <f aca="false">SUMIFS(Rashodi_detalji!$N$10:$N$85,Rashodi_detalji!$E$10:$E$85,"51035")</f>
        <v>2480150</v>
      </c>
      <c r="F51" s="9" t="n">
        <f aca="false">IF(C51=0,"-",E51/C51*100)</f>
        <v>117.549385541353</v>
      </c>
    </row>
    <row r="52" customFormat="false" ht="15" hidden="false" customHeight="false" outlineLevel="0" collapsed="false">
      <c r="A52" s="6" t="s">
        <v>238</v>
      </c>
      <c r="B52" s="7" t="s">
        <v>239</v>
      </c>
      <c r="C52" s="8" t="n">
        <f aca="false">SUMIFS(Rashodi_detalji!$L$10:$L$85,Rashodi_detalji!$E$10:$E$85,"51038")</f>
        <v>9745.31</v>
      </c>
      <c r="D52" s="8" t="n">
        <f aca="false">E52-C52</f>
        <v>5730.9</v>
      </c>
      <c r="E52" s="8" t="n">
        <f aca="false">SUMIFS(Rashodi_detalji!$N$10:$N$85,Rashodi_detalji!$E$10:$E$85,"51038")</f>
        <v>15476.21</v>
      </c>
      <c r="F52" s="9" t="n">
        <f aca="false">IF(C52=0,"-",E52/C52*100)</f>
        <v>158.80674909264</v>
      </c>
    </row>
    <row r="53" customFormat="false" ht="15" hidden="false" customHeight="false" outlineLevel="0" collapsed="false">
      <c r="A53" s="6" t="s">
        <v>240</v>
      </c>
      <c r="B53" s="7" t="s">
        <v>241</v>
      </c>
      <c r="C53" s="8" t="n">
        <f aca="false">SUMIFS(Rashodi_detalji!$L$10:$L$85,Rashodi_detalji!$E$10:$E$85,"510391")</f>
        <v>100000</v>
      </c>
      <c r="D53" s="8" t="n">
        <f aca="false">E53-C53</f>
        <v>0</v>
      </c>
      <c r="E53" s="8" t="n">
        <f aca="false">SUMIFS(Rashodi_detalji!$N$10:$N$85,Rashodi_detalji!$E$10:$E$85,"510391")</f>
        <v>100000</v>
      </c>
      <c r="F53" s="9" t="n">
        <f aca="false">IF(C53=0,"-",E53/C53*100)</f>
        <v>100</v>
      </c>
    </row>
    <row r="54" customFormat="false" ht="15" hidden="false" customHeight="false" outlineLevel="0" collapsed="false">
      <c r="A54" s="6" t="s">
        <v>242</v>
      </c>
      <c r="B54" s="7" t="s">
        <v>243</v>
      </c>
      <c r="C54" s="8" t="n">
        <f aca="false">SUMIFS(Rashodi_detalji!$L$10:$L$85,Rashodi_detalji!$E$10:$E$85,"511903")</f>
        <v>1360</v>
      </c>
      <c r="D54" s="8" t="n">
        <f aca="false">E54-C54</f>
        <v>0</v>
      </c>
      <c r="E54" s="8" t="n">
        <f aca="false">SUMIFS(Rashodi_detalji!$N$10:$N$85,Rashodi_detalji!$E$10:$E$85,"511903")</f>
        <v>1360</v>
      </c>
      <c r="F54" s="9" t="n">
        <f aca="false">IF(C54=0,"-",E54/C54*100)</f>
        <v>100</v>
      </c>
    </row>
    <row r="55" customFormat="false" ht="15" hidden="false" customHeight="false" outlineLevel="0" collapsed="false">
      <c r="A55" s="11" t="s">
        <v>244</v>
      </c>
      <c r="B55" s="12" t="s">
        <v>245</v>
      </c>
      <c r="C55" s="13" t="n">
        <f aca="false">SUMIFS(Rashodi_detalji!$L$10:$L$85,Rashodi_detalji!$D$10:$D$85,"53")</f>
        <v>57606.47</v>
      </c>
      <c r="D55" s="13" t="n">
        <f aca="false">E55-C55</f>
        <v>3213.53</v>
      </c>
      <c r="E55" s="13" t="n">
        <f aca="false">SUMIFS(Rashodi_detalji!$N$10:$N$85,Rashodi_detalji!$D$10:$D$85,"53")</f>
        <v>60820</v>
      </c>
      <c r="F55" s="14" t="n">
        <f aca="false">IF(C55=0,"-",E55/C55*100)</f>
        <v>105.578418535279</v>
      </c>
    </row>
    <row r="56" customFormat="false" ht="15" hidden="false" customHeight="false" outlineLevel="0" collapsed="false">
      <c r="A56" s="6" t="s">
        <v>244</v>
      </c>
      <c r="B56" s="7" t="s">
        <v>246</v>
      </c>
      <c r="C56" s="8" t="n">
        <f aca="false">SUMIFS(Rashodi_detalji!$L$10:$L$85,Rashodi_detalji!$E$10:$E$85,"53")</f>
        <v>57606.47</v>
      </c>
      <c r="D56" s="8" t="n">
        <f aca="false">E56-C56</f>
        <v>3213.53</v>
      </c>
      <c r="E56" s="8" t="n">
        <f aca="false">SUMIFS(Rashodi_detalji!$N$10:$N$85,Rashodi_detalji!$E$10:$E$85,"53")</f>
        <v>60820</v>
      </c>
      <c r="F56" s="9" t="n">
        <f aca="false">IF(C56=0,"-",E56/C56*100)</f>
        <v>105.578418535279</v>
      </c>
    </row>
    <row r="57" customFormat="false" ht="15" hidden="false" customHeight="false" outlineLevel="0" collapsed="false">
      <c r="A57" s="11" t="s">
        <v>247</v>
      </c>
      <c r="B57" s="12" t="s">
        <v>248</v>
      </c>
      <c r="C57" s="13" t="n">
        <f aca="false">SUMIFS(Rashodi_detalji!$L$10:$L$85,Rashodi_detalji!$D$10:$D$85,"54")</f>
        <v>35612.16</v>
      </c>
      <c r="D57" s="13" t="n">
        <f aca="false">E57-C57</f>
        <v>0</v>
      </c>
      <c r="E57" s="13" t="n">
        <f aca="false">SUMIFS(Rashodi_detalji!$N$10:$N$85,Rashodi_detalji!$D$10:$D$85,"54")</f>
        <v>35612.16</v>
      </c>
      <c r="F57" s="14" t="n">
        <f aca="false">IF(C57=0,"-",E57/C57*100)</f>
        <v>100</v>
      </c>
    </row>
    <row r="58" customFormat="false" ht="15" hidden="false" customHeight="false" outlineLevel="0" collapsed="false">
      <c r="A58" s="6" t="s">
        <v>249</v>
      </c>
      <c r="B58" s="7" t="s">
        <v>250</v>
      </c>
      <c r="C58" s="8" t="n">
        <f aca="false">SUMIFS(Rashodi_detalji!$L$10:$L$85,Rashodi_detalji!$E$10:$E$85,"540099")</f>
        <v>35612.16</v>
      </c>
      <c r="D58" s="8" t="n">
        <f aca="false">E58-C58</f>
        <v>0</v>
      </c>
      <c r="E58" s="8" t="n">
        <f aca="false">SUMIFS(Rashodi_detalji!$N$10:$N$85,Rashodi_detalji!$E$10:$E$85,"540099")</f>
        <v>35612.16</v>
      </c>
      <c r="F58" s="9" t="n">
        <f aca="false">IF(C58=0,"-",E58/C58*100)</f>
        <v>100</v>
      </c>
    </row>
    <row r="59" customFormat="false" ht="15" hidden="false" customHeight="false" outlineLevel="0" collapsed="false">
      <c r="A59" s="19"/>
      <c r="B59" s="20" t="s">
        <v>253</v>
      </c>
      <c r="C59" s="21" t="n">
        <f aca="false">C36+C38+C40+C42+C44+C46+C48+C55+C57</f>
        <v>2927619.56</v>
      </c>
      <c r="D59" s="21" t="n">
        <f aca="false">E59-C59</f>
        <v>361810.42</v>
      </c>
      <c r="E59" s="21" t="n">
        <f aca="false">E36+E38+E40+E42+E44+E46+E48+E55+E57</f>
        <v>3289429.98</v>
      </c>
      <c r="F59" s="22" t="n">
        <f aca="false">IF(C59=0,"-",E59/C59*100)</f>
        <v>112.358519014677</v>
      </c>
    </row>
  </sheetData>
  <mergeCells count="2">
    <mergeCell ref="A6:F6"/>
    <mergeCell ref="A7:F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1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50"/>
    <col collapsed="false" customWidth="true" hidden="false" outlineLevel="0" max="6" min="3" style="0" width="16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254</v>
      </c>
      <c r="B6" s="3"/>
      <c r="C6" s="3"/>
      <c r="D6" s="3"/>
      <c r="E6" s="3"/>
      <c r="F6" s="3"/>
    </row>
    <row r="7" customFormat="false" ht="15" hidden="false" customHeight="false" outlineLevel="0" collapsed="false">
      <c r="A7" s="4" t="s">
        <v>255</v>
      </c>
      <c r="B7" s="4"/>
      <c r="C7" s="4"/>
      <c r="D7" s="4"/>
      <c r="E7" s="4"/>
      <c r="F7" s="4"/>
    </row>
    <row r="9" customFormat="false" ht="30" hidden="false" customHeight="true" outlineLevel="0" collapsed="false">
      <c r="A9" s="5" t="s">
        <v>256</v>
      </c>
      <c r="B9" s="5" t="s">
        <v>51</v>
      </c>
      <c r="C9" s="5" t="s">
        <v>8</v>
      </c>
      <c r="D9" s="5" t="s">
        <v>9</v>
      </c>
      <c r="E9" s="5" t="s">
        <v>10</v>
      </c>
      <c r="F9" s="5" t="s">
        <v>11</v>
      </c>
    </row>
    <row r="10" customFormat="false" ht="15" hidden="false" customHeight="false" outlineLevel="0" collapsed="false">
      <c r="A10" s="11" t="s">
        <v>257</v>
      </c>
      <c r="B10" s="12" t="s">
        <v>258</v>
      </c>
      <c r="C10" s="13" t="n">
        <f aca="false">SUM(C11:C12)</f>
        <v>2927619.56</v>
      </c>
      <c r="D10" s="13" t="n">
        <f aca="false">E10-C10</f>
        <v>361810.42</v>
      </c>
      <c r="E10" s="13" t="n">
        <f aca="false">SUM(E11:E12)</f>
        <v>3289429.98</v>
      </c>
      <c r="F10" s="14" t="n">
        <f aca="false">IF(C10=0,"-",E10/C10*100)</f>
        <v>112.358519014677</v>
      </c>
    </row>
    <row r="11" customFormat="false" ht="15" hidden="false" customHeight="false" outlineLevel="0" collapsed="false">
      <c r="A11" s="6" t="s">
        <v>259</v>
      </c>
      <c r="B11" s="7" t="s">
        <v>260</v>
      </c>
      <c r="C11" s="8" t="n">
        <f aca="false">SUMIFS(Rashodi_detalji!$L$10:$L$85,Rashodi_detalji!$C$10:$C$85,"0912")</f>
        <v>2896619.56</v>
      </c>
      <c r="D11" s="8" t="n">
        <f aca="false">E11-C11</f>
        <v>330754.62</v>
      </c>
      <c r="E11" s="8" t="n">
        <f aca="false">SUMIFS(Rashodi_detalji!$N$10:$N$85,Rashodi_detalji!$C$10:$C$85,"0912")</f>
        <v>3227374.18</v>
      </c>
      <c r="F11" s="9" t="n">
        <f aca="false">IF(C11=0,"-",E11/C11*100)</f>
        <v>111.41864208084</v>
      </c>
    </row>
    <row r="12" customFormat="false" ht="15" hidden="false" customHeight="false" outlineLevel="0" collapsed="false">
      <c r="A12" s="6" t="s">
        <v>261</v>
      </c>
      <c r="B12" s="7" t="s">
        <v>262</v>
      </c>
      <c r="C12" s="8" t="n">
        <f aca="false">SUMIFS(Rashodi_detalji!$L$10:$L$85,Rashodi_detalji!$C$10:$C$85,"0960")</f>
        <v>31000</v>
      </c>
      <c r="D12" s="8" t="n">
        <f aca="false">E12-C12</f>
        <v>31055.8</v>
      </c>
      <c r="E12" s="8" t="n">
        <f aca="false">SUMIFS(Rashodi_detalji!$N$10:$N$85,Rashodi_detalji!$C$10:$C$85,"0960")</f>
        <v>62055.8</v>
      </c>
      <c r="F12" s="9" t="n">
        <f aca="false">IF(C12=0,"-",E12/C12*100)</f>
        <v>200.18</v>
      </c>
    </row>
  </sheetData>
  <mergeCells count="2">
    <mergeCell ref="A6:F6"/>
    <mergeCell ref="A7:F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1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9" topLeftCell="D10" activePane="bottomRight" state="frozen"/>
      <selection pane="topLeft" activeCell="A1" activeCellId="0" sqref="A1"/>
      <selection pane="topRight" activeCell="D1" activeCellId="0" sqref="D1"/>
      <selection pane="bottomLeft" activeCell="A10" activeCellId="0" sqref="A10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62"/>
    <col collapsed="false" customWidth="true" hidden="false" outlineLevel="0" max="3" min="3" style="0" width="9"/>
    <col collapsed="false" customWidth="true" hidden="false" outlineLevel="0" max="7" min="4" style="0" width="16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263</v>
      </c>
      <c r="B6" s="3"/>
      <c r="C6" s="3"/>
      <c r="D6" s="3"/>
      <c r="E6" s="3"/>
      <c r="F6" s="3"/>
      <c r="G6" s="3"/>
    </row>
    <row r="7" customFormat="false" ht="15" hidden="false" customHeight="false" outlineLevel="0" collapsed="false">
      <c r="A7" s="4" t="s">
        <v>264</v>
      </c>
      <c r="B7" s="4"/>
      <c r="C7" s="4"/>
      <c r="D7" s="4"/>
      <c r="E7" s="4"/>
      <c r="F7" s="4"/>
      <c r="G7" s="4"/>
    </row>
    <row r="9" customFormat="false" ht="30" hidden="false" customHeight="true" outlineLevel="0" collapsed="false">
      <c r="A9" s="5" t="s">
        <v>6</v>
      </c>
      <c r="B9" s="5" t="s">
        <v>51</v>
      </c>
      <c r="C9" s="5" t="s">
        <v>210</v>
      </c>
      <c r="D9" s="5" t="s">
        <v>8</v>
      </c>
      <c r="E9" s="5" t="s">
        <v>9</v>
      </c>
      <c r="F9" s="5" t="s">
        <v>10</v>
      </c>
      <c r="G9" s="5" t="s">
        <v>11</v>
      </c>
    </row>
    <row r="10" customFormat="false" ht="15" hidden="false" customHeight="false" outlineLevel="0" collapsed="false">
      <c r="A10" s="19"/>
      <c r="B10" s="19" t="s">
        <v>265</v>
      </c>
      <c r="C10" s="20"/>
      <c r="D10" s="21" t="n">
        <f aca="false">D11+D42+D99</f>
        <v>2927619.56</v>
      </c>
      <c r="E10" s="21" t="n">
        <f aca="false">F10-D10</f>
        <v>361810.42</v>
      </c>
      <c r="F10" s="21" t="n">
        <f aca="false">F11+F42+F99</f>
        <v>3289429.98</v>
      </c>
      <c r="G10" s="22" t="n">
        <f aca="false">IF(D10=0,"-",F10/D10*100)</f>
        <v>112.358519014677</v>
      </c>
    </row>
    <row r="11" customFormat="false" ht="15" hidden="false" customHeight="false" outlineLevel="0" collapsed="false">
      <c r="A11" s="11" t="s">
        <v>266</v>
      </c>
      <c r="B11" s="11" t="s">
        <v>267</v>
      </c>
      <c r="C11" s="12"/>
      <c r="D11" s="13" t="n">
        <f aca="false">SUMIFS(Rashodi_detalji!$L$10:$L$85,Rashodi_detalji!$A$10:$A$85,"2202")</f>
        <v>2560193.15</v>
      </c>
      <c r="E11" s="13" t="n">
        <f aca="false">F11-D11</f>
        <v>325117.85</v>
      </c>
      <c r="F11" s="13" t="n">
        <f aca="false">SUMIFS(Rashodi_detalji!$N$10:$N$85,Rashodi_detalji!$A$10:$A$85,"2202")</f>
        <v>2885311</v>
      </c>
      <c r="G11" s="14" t="n">
        <f aca="false">IF(D11=0,"-",F11/D11*100)</f>
        <v>112.698957889173</v>
      </c>
    </row>
    <row r="12" customFormat="false" ht="15" hidden="false" customHeight="false" outlineLevel="0" collapsed="false">
      <c r="A12" s="15" t="s">
        <v>268</v>
      </c>
      <c r="B12" s="15" t="s">
        <v>269</v>
      </c>
      <c r="C12" s="16"/>
      <c r="D12" s="17" t="n">
        <f aca="false">SUMIFS(Rashodi_detalji!$L$10:$L$85,Rashodi_detalji!$B$10:$B$85,"A2202-01")</f>
        <v>450313.98</v>
      </c>
      <c r="E12" s="17" t="n">
        <f aca="false">F12-D12</f>
        <v>-45152.98</v>
      </c>
      <c r="F12" s="17" t="n">
        <f aca="false">SUMIFS(Rashodi_detalji!$N$10:$N$85,Rashodi_detalji!$B$10:$B$85,"A2202-01")</f>
        <v>405161</v>
      </c>
      <c r="G12" s="18" t="n">
        <f aca="false">IF(D12=0,"-",F12/D12*100)</f>
        <v>89.9730006161479</v>
      </c>
    </row>
    <row r="13" customFormat="false" ht="15" hidden="false" customHeight="false" outlineLevel="0" collapsed="false">
      <c r="A13" s="29" t="s">
        <v>270</v>
      </c>
      <c r="B13" s="29" t="s">
        <v>271</v>
      </c>
      <c r="C13" s="30" t="s">
        <v>205</v>
      </c>
      <c r="D13" s="31" t="n">
        <f aca="false">SUMIFS(Rashodi_detalji!$L$10:$L$85,Rashodi_detalji!$B$10:$B$85,"A2202-01",Rashodi_detalji!$E$10:$E$85,"451")</f>
        <v>450313.98</v>
      </c>
      <c r="E13" s="31" t="n">
        <f aca="false">F13-D13</f>
        <v>-45152.98</v>
      </c>
      <c r="F13" s="31" t="n">
        <f aca="false">SUMIFS(Rashodi_detalji!$N$10:$N$85,Rashodi_detalji!$B$10:$B$85,"A2202-01",Rashodi_detalji!$E$10:$E$85,"451")</f>
        <v>405161</v>
      </c>
      <c r="G13" s="32" t="n">
        <f aca="false">IF(D13=0,"-",F13/D13*100)</f>
        <v>89.9730006161479</v>
      </c>
    </row>
    <row r="14" customFormat="false" ht="15" hidden="false" customHeight="false" outlineLevel="0" collapsed="false">
      <c r="A14" s="6" t="s">
        <v>272</v>
      </c>
      <c r="B14" s="6" t="s">
        <v>273</v>
      </c>
      <c r="C14" s="7" t="s">
        <v>205</v>
      </c>
      <c r="D14" s="8" t="n">
        <f aca="false">SUMIFS(Rashodi_detalji!$L$10:$L$85,Rashodi_detalji!$B$10:$B$85,"A2202-01",Rashodi_detalji!$E$10:$E$85,"451",Rashodi_detalji!$F$10:$F$85,"32111")</f>
        <v>3000</v>
      </c>
      <c r="E14" s="8" t="n">
        <f aca="false">F14-D14</f>
        <v>500</v>
      </c>
      <c r="F14" s="8" t="n">
        <f aca="false">SUMIFS(Rashodi_detalji!$N$10:$N$85,Rashodi_detalji!$B$10:$B$85,"A2202-01",Rashodi_detalji!$E$10:$E$85,"451",Rashodi_detalji!$F$10:$F$85,"32111")</f>
        <v>3500</v>
      </c>
      <c r="G14" s="9" t="n">
        <f aca="false">IF(D14=0,"-",F14/D14*100)</f>
        <v>116.666666666667</v>
      </c>
    </row>
    <row r="15" customFormat="false" ht="15" hidden="false" customHeight="false" outlineLevel="0" collapsed="false">
      <c r="A15" s="6" t="s">
        <v>274</v>
      </c>
      <c r="B15" s="6" t="s">
        <v>275</v>
      </c>
      <c r="C15" s="7" t="s">
        <v>205</v>
      </c>
      <c r="D15" s="8" t="n">
        <f aca="false">SUMIFS(Rashodi_detalji!$L$10:$L$85,Rashodi_detalji!$B$10:$B$85,"A2202-01",Rashodi_detalji!$E$10:$E$85,"451",Rashodi_detalji!$F$10:$F$85,"32131")</f>
        <v>800</v>
      </c>
      <c r="E15" s="8" t="n">
        <f aca="false">F15-D15</f>
        <v>0</v>
      </c>
      <c r="F15" s="8" t="n">
        <f aca="false">SUMIFS(Rashodi_detalji!$N$10:$N$85,Rashodi_detalji!$B$10:$B$85,"A2202-01",Rashodi_detalji!$E$10:$E$85,"451",Rashodi_detalji!$F$10:$F$85,"32131")</f>
        <v>800</v>
      </c>
      <c r="G15" s="9" t="n">
        <f aca="false">IF(D15=0,"-",F15/D15*100)</f>
        <v>100</v>
      </c>
    </row>
    <row r="16" customFormat="false" ht="15" hidden="false" customHeight="false" outlineLevel="0" collapsed="false">
      <c r="A16" s="6" t="s">
        <v>276</v>
      </c>
      <c r="B16" s="6" t="s">
        <v>124</v>
      </c>
      <c r="C16" s="7" t="s">
        <v>205</v>
      </c>
      <c r="D16" s="8" t="n">
        <f aca="false">SUMIFS(Rashodi_detalji!$L$10:$L$85,Rashodi_detalji!$B$10:$B$85,"A2202-01",Rashodi_detalji!$E$10:$E$85,"451",Rashodi_detalji!$F$10:$F$85,"32149")</f>
        <v>0</v>
      </c>
      <c r="E16" s="8" t="n">
        <f aca="false">F16-D16</f>
        <v>1000</v>
      </c>
      <c r="F16" s="8" t="n">
        <f aca="false">SUMIFS(Rashodi_detalji!$N$10:$N$85,Rashodi_detalji!$B$10:$B$85,"A2202-01",Rashodi_detalji!$E$10:$E$85,"451",Rashodi_detalji!$F$10:$F$85,"32149")</f>
        <v>1000</v>
      </c>
      <c r="G16" s="9" t="str">
        <f aca="false">IF(D16=0,"-",F16/D16*100)</f>
        <v>-</v>
      </c>
    </row>
    <row r="17" customFormat="false" ht="15" hidden="false" customHeight="false" outlineLevel="0" collapsed="false">
      <c r="A17" s="6" t="s">
        <v>277</v>
      </c>
      <c r="B17" s="6" t="s">
        <v>278</v>
      </c>
      <c r="C17" s="7" t="s">
        <v>205</v>
      </c>
      <c r="D17" s="8" t="n">
        <f aca="false">SUMIFS(Rashodi_detalji!$L$10:$L$85,Rashodi_detalji!$B$10:$B$85,"A2202-01",Rashodi_detalji!$E$10:$E$85,"451",Rashodi_detalji!$F$10:$F$85,"32211")</f>
        <v>7000</v>
      </c>
      <c r="E17" s="8" t="n">
        <f aca="false">F17-D17</f>
        <v>500</v>
      </c>
      <c r="F17" s="8" t="n">
        <f aca="false">SUMIFS(Rashodi_detalji!$N$10:$N$85,Rashodi_detalji!$B$10:$B$85,"A2202-01",Rashodi_detalji!$E$10:$E$85,"451",Rashodi_detalji!$F$10:$F$85,"32211")</f>
        <v>7500</v>
      </c>
      <c r="G17" s="9" t="n">
        <f aca="false">IF(D17=0,"-",F17/D17*100)</f>
        <v>107.142857142857</v>
      </c>
    </row>
    <row r="18" customFormat="false" ht="15" hidden="false" customHeight="false" outlineLevel="0" collapsed="false">
      <c r="A18" s="6" t="s">
        <v>279</v>
      </c>
      <c r="B18" s="6" t="s">
        <v>280</v>
      </c>
      <c r="C18" s="7" t="s">
        <v>205</v>
      </c>
      <c r="D18" s="8" t="n">
        <f aca="false">SUMIFS(Rashodi_detalji!$L$10:$L$85,Rashodi_detalji!$B$10:$B$85,"A2202-01",Rashodi_detalji!$E$10:$E$85,"451",Rashodi_detalji!$F$10:$F$85,"32221")</f>
        <v>2000</v>
      </c>
      <c r="E18" s="8" t="n">
        <f aca="false">F18-D18</f>
        <v>-500</v>
      </c>
      <c r="F18" s="8" t="n">
        <f aca="false">SUMIFS(Rashodi_detalji!$N$10:$N$85,Rashodi_detalji!$B$10:$B$85,"A2202-01",Rashodi_detalji!$E$10:$E$85,"451",Rashodi_detalji!$F$10:$F$85,"32221")</f>
        <v>1500</v>
      </c>
      <c r="G18" s="9" t="n">
        <f aca="false">IF(D18=0,"-",F18/D18*100)</f>
        <v>75</v>
      </c>
    </row>
    <row r="19" customFormat="false" ht="15" hidden="false" customHeight="false" outlineLevel="0" collapsed="false">
      <c r="A19" s="6" t="s">
        <v>281</v>
      </c>
      <c r="B19" s="6" t="s">
        <v>282</v>
      </c>
      <c r="C19" s="7" t="s">
        <v>205</v>
      </c>
      <c r="D19" s="8" t="n">
        <f aca="false">SUMIFS(Rashodi_detalji!$L$10:$L$85,Rashodi_detalji!$B$10:$B$85,"A2202-01",Rashodi_detalji!$E$10:$E$85,"451",Rashodi_detalji!$F$10:$F$85,"32231")</f>
        <v>25000</v>
      </c>
      <c r="E19" s="8" t="n">
        <f aca="false">F19-D19</f>
        <v>-3010.5</v>
      </c>
      <c r="F19" s="8" t="n">
        <f aca="false">SUMIFS(Rashodi_detalji!$N$10:$N$85,Rashodi_detalji!$B$10:$B$85,"A2202-01",Rashodi_detalji!$E$10:$E$85,"451",Rashodi_detalji!$F$10:$F$85,"32231")</f>
        <v>21989.5</v>
      </c>
      <c r="G19" s="9" t="n">
        <f aca="false">IF(D19=0,"-",F19/D19*100)</f>
        <v>87.958</v>
      </c>
    </row>
    <row r="20" customFormat="false" ht="15" hidden="false" customHeight="false" outlineLevel="0" collapsed="false">
      <c r="A20" s="6" t="s">
        <v>283</v>
      </c>
      <c r="B20" s="6" t="s">
        <v>284</v>
      </c>
      <c r="C20" s="7" t="s">
        <v>205</v>
      </c>
      <c r="D20" s="8" t="n">
        <f aca="false">SUMIFS(Rashodi_detalji!$L$10:$L$85,Rashodi_detalji!$B$10:$B$85,"A2202-01",Rashodi_detalji!$E$10:$E$85,"451",Rashodi_detalji!$F$10:$F$85,"32234")</f>
        <v>50000</v>
      </c>
      <c r="E20" s="8" t="n">
        <f aca="false">F20-D20</f>
        <v>-13824.55</v>
      </c>
      <c r="F20" s="8" t="n">
        <f aca="false">SUMIFS(Rashodi_detalji!$N$10:$N$85,Rashodi_detalji!$B$10:$B$85,"A2202-01",Rashodi_detalji!$E$10:$E$85,"451",Rashodi_detalji!$F$10:$F$85,"32234")</f>
        <v>36175.45</v>
      </c>
      <c r="G20" s="9" t="n">
        <f aca="false">IF(D20=0,"-",F20/D20*100)</f>
        <v>72.3509</v>
      </c>
    </row>
    <row r="21" customFormat="false" ht="15" hidden="false" customHeight="false" outlineLevel="0" collapsed="false">
      <c r="A21" s="6" t="s">
        <v>285</v>
      </c>
      <c r="B21" s="6" t="s">
        <v>286</v>
      </c>
      <c r="C21" s="7" t="s">
        <v>205</v>
      </c>
      <c r="D21" s="8" t="n">
        <f aca="false">SUMIFS(Rashodi_detalji!$L$10:$L$85,Rashodi_detalji!$B$10:$B$85,"A2202-01",Rashodi_detalji!$E$10:$E$85,"451",Rashodi_detalji!$F$10:$F$85,"32241")</f>
        <v>3404</v>
      </c>
      <c r="E21" s="8" t="n">
        <f aca="false">F21-D21</f>
        <v>-404</v>
      </c>
      <c r="F21" s="8" t="n">
        <f aca="false">SUMIFS(Rashodi_detalji!$N$10:$N$85,Rashodi_detalji!$B$10:$B$85,"A2202-01",Rashodi_detalji!$E$10:$E$85,"451",Rashodi_detalji!$F$10:$F$85,"32241")</f>
        <v>3000</v>
      </c>
      <c r="G21" s="9" t="n">
        <f aca="false">IF(D21=0,"-",F21/D21*100)</f>
        <v>88.1316098707403</v>
      </c>
    </row>
    <row r="22" customFormat="false" ht="15" hidden="false" customHeight="false" outlineLevel="0" collapsed="false">
      <c r="A22" s="6" t="s">
        <v>287</v>
      </c>
      <c r="B22" s="6" t="s">
        <v>288</v>
      </c>
      <c r="C22" s="7" t="s">
        <v>205</v>
      </c>
      <c r="D22" s="8" t="n">
        <f aca="false">SUMIFS(Rashodi_detalji!$L$10:$L$85,Rashodi_detalji!$B$10:$B$85,"A2202-01",Rashodi_detalji!$E$10:$E$85,"451",Rashodi_detalji!$F$10:$F$85,"32251")</f>
        <v>0</v>
      </c>
      <c r="E22" s="8" t="n">
        <f aca="false">F22-D22</f>
        <v>500</v>
      </c>
      <c r="F22" s="8" t="n">
        <f aca="false">SUMIFS(Rashodi_detalji!$N$10:$N$85,Rashodi_detalji!$B$10:$B$85,"A2202-01",Rashodi_detalji!$E$10:$E$85,"451",Rashodi_detalji!$F$10:$F$85,"32251")</f>
        <v>500</v>
      </c>
      <c r="G22" s="9" t="str">
        <f aca="false">IF(D22=0,"-",F22/D22*100)</f>
        <v>-</v>
      </c>
    </row>
    <row r="23" customFormat="false" ht="15" hidden="false" customHeight="false" outlineLevel="0" collapsed="false">
      <c r="A23" s="6" t="s">
        <v>289</v>
      </c>
      <c r="B23" s="6" t="s">
        <v>138</v>
      </c>
      <c r="C23" s="7" t="s">
        <v>205</v>
      </c>
      <c r="D23" s="8" t="n">
        <f aca="false">SUMIFS(Rashodi_detalji!$L$10:$L$85,Rashodi_detalji!$B$10:$B$85,"A2202-01",Rashodi_detalji!$E$10:$E$85,"451",Rashodi_detalji!$F$10:$F$85,"32271")</f>
        <v>1500</v>
      </c>
      <c r="E23" s="8" t="n">
        <f aca="false">F23-D23</f>
        <v>0</v>
      </c>
      <c r="F23" s="8" t="n">
        <f aca="false">SUMIFS(Rashodi_detalji!$N$10:$N$85,Rashodi_detalji!$B$10:$B$85,"A2202-01",Rashodi_detalji!$E$10:$E$85,"451",Rashodi_detalji!$F$10:$F$85,"32271")</f>
        <v>1500</v>
      </c>
      <c r="G23" s="9" t="n">
        <f aca="false">IF(D23=0,"-",F23/D23*100)</f>
        <v>100</v>
      </c>
    </row>
    <row r="24" customFormat="false" ht="15" hidden="false" customHeight="false" outlineLevel="0" collapsed="false">
      <c r="A24" s="6" t="s">
        <v>290</v>
      </c>
      <c r="B24" s="6" t="s">
        <v>291</v>
      </c>
      <c r="C24" s="7" t="s">
        <v>205</v>
      </c>
      <c r="D24" s="8" t="n">
        <f aca="false">SUMIFS(Rashodi_detalji!$L$10:$L$85,Rashodi_detalji!$B$10:$B$85,"A2202-01",Rashodi_detalji!$E$10:$E$85,"451",Rashodi_detalji!$F$10:$F$85,"32311")</f>
        <v>2500</v>
      </c>
      <c r="E24" s="8" t="n">
        <f aca="false">F24-D24</f>
        <v>-300</v>
      </c>
      <c r="F24" s="8" t="n">
        <f aca="false">SUMIFS(Rashodi_detalji!$N$10:$N$85,Rashodi_detalji!$B$10:$B$85,"A2202-01",Rashodi_detalji!$E$10:$E$85,"451",Rashodi_detalji!$F$10:$F$85,"32311")</f>
        <v>2200</v>
      </c>
      <c r="G24" s="9" t="n">
        <f aca="false">IF(D24=0,"-",F24/D24*100)</f>
        <v>88</v>
      </c>
    </row>
    <row r="25" customFormat="false" ht="15" hidden="false" customHeight="false" outlineLevel="0" collapsed="false">
      <c r="A25" s="6" t="s">
        <v>292</v>
      </c>
      <c r="B25" s="6" t="s">
        <v>293</v>
      </c>
      <c r="C25" s="7" t="s">
        <v>205</v>
      </c>
      <c r="D25" s="8" t="n">
        <f aca="false">SUMIFS(Rashodi_detalji!$L$10:$L$85,Rashodi_detalji!$B$10:$B$85,"A2202-01",Rashodi_detalji!$E$10:$E$85,"451",Rashodi_detalji!$F$10:$F$85,"32321")</f>
        <v>2500</v>
      </c>
      <c r="E25" s="8" t="n">
        <f aca="false">F25-D25</f>
        <v>4496.05</v>
      </c>
      <c r="F25" s="8" t="n">
        <f aca="false">SUMIFS(Rashodi_detalji!$N$10:$N$85,Rashodi_detalji!$B$10:$B$85,"A2202-01",Rashodi_detalji!$E$10:$E$85,"451",Rashodi_detalji!$F$10:$F$85,"32321")</f>
        <v>6996.05</v>
      </c>
      <c r="G25" s="9" t="n">
        <f aca="false">IF(D25=0,"-",F25/D25*100)</f>
        <v>279.842</v>
      </c>
    </row>
    <row r="26" customFormat="false" ht="15" hidden="false" customHeight="false" outlineLevel="0" collapsed="false">
      <c r="A26" s="6" t="s">
        <v>294</v>
      </c>
      <c r="B26" s="6" t="s">
        <v>295</v>
      </c>
      <c r="C26" s="7" t="s">
        <v>205</v>
      </c>
      <c r="D26" s="8" t="n">
        <f aca="false">SUMIFS(Rashodi_detalji!$L$10:$L$85,Rashodi_detalji!$B$10:$B$85,"A2202-01",Rashodi_detalji!$E$10:$E$85,"451",Rashodi_detalji!$F$10:$F$85,"32341")</f>
        <v>17259.98</v>
      </c>
      <c r="E26" s="8" t="n">
        <f aca="false">F26-D26</f>
        <v>22740.02</v>
      </c>
      <c r="F26" s="8" t="n">
        <f aca="false">SUMIFS(Rashodi_detalji!$N$10:$N$85,Rashodi_detalji!$B$10:$B$85,"A2202-01",Rashodi_detalji!$E$10:$E$85,"451",Rashodi_detalji!$F$10:$F$85,"32341")</f>
        <v>40000</v>
      </c>
      <c r="G26" s="9" t="n">
        <f aca="false">IF(D26=0,"-",F26/D26*100)</f>
        <v>231.749978852814</v>
      </c>
    </row>
    <row r="27" customFormat="false" ht="15" hidden="false" customHeight="false" outlineLevel="0" collapsed="false">
      <c r="A27" s="6" t="s">
        <v>296</v>
      </c>
      <c r="B27" s="6" t="s">
        <v>297</v>
      </c>
      <c r="C27" s="7" t="s">
        <v>205</v>
      </c>
      <c r="D27" s="8" t="n">
        <f aca="false">SUMIFS(Rashodi_detalji!$L$10:$L$85,Rashodi_detalji!$B$10:$B$85,"A2202-01",Rashodi_detalji!$E$10:$E$85,"451",Rashodi_detalji!$F$10:$F$85,"32353")</f>
        <v>316000</v>
      </c>
      <c r="E27" s="8" t="n">
        <f aca="false">F27-D27</f>
        <v>-58300</v>
      </c>
      <c r="F27" s="8" t="n">
        <f aca="false">SUMIFS(Rashodi_detalji!$N$10:$N$85,Rashodi_detalji!$B$10:$B$85,"A2202-01",Rashodi_detalji!$E$10:$E$85,"451",Rashodi_detalji!$F$10:$F$85,"32353")</f>
        <v>257700</v>
      </c>
      <c r="G27" s="9" t="n">
        <f aca="false">IF(D27=0,"-",F27/D27*100)</f>
        <v>81.5506329113924</v>
      </c>
    </row>
    <row r="28" customFormat="false" ht="15" hidden="false" customHeight="false" outlineLevel="0" collapsed="false">
      <c r="A28" s="6" t="s">
        <v>298</v>
      </c>
      <c r="B28" s="6" t="s">
        <v>299</v>
      </c>
      <c r="C28" s="7" t="s">
        <v>205</v>
      </c>
      <c r="D28" s="8" t="n">
        <f aca="false">SUMIFS(Rashodi_detalji!$L$10:$L$85,Rashodi_detalji!$B$10:$B$85,"A2202-01",Rashodi_detalji!$E$10:$E$85,"451",Rashodi_detalji!$F$10:$F$85,"32359")</f>
        <v>2700</v>
      </c>
      <c r="E28" s="8" t="n">
        <f aca="false">F28-D28</f>
        <v>0</v>
      </c>
      <c r="F28" s="8" t="n">
        <f aca="false">SUMIFS(Rashodi_detalji!$N$10:$N$85,Rashodi_detalji!$B$10:$B$85,"A2202-01",Rashodi_detalji!$E$10:$E$85,"451",Rashodi_detalji!$F$10:$F$85,"32359")</f>
        <v>2700</v>
      </c>
      <c r="G28" s="9" t="n">
        <f aca="false">IF(D28=0,"-",F28/D28*100)</f>
        <v>100</v>
      </c>
    </row>
    <row r="29" customFormat="false" ht="15" hidden="false" customHeight="false" outlineLevel="0" collapsed="false">
      <c r="A29" s="6" t="s">
        <v>300</v>
      </c>
      <c r="B29" s="6" t="s">
        <v>301</v>
      </c>
      <c r="C29" s="7" t="s">
        <v>205</v>
      </c>
      <c r="D29" s="8" t="n">
        <f aca="false">SUMIFS(Rashodi_detalji!$L$10:$L$85,Rashodi_detalji!$B$10:$B$85,"A2202-01",Rashodi_detalji!$E$10:$E$85,"451",Rashodi_detalji!$F$10:$F$85,"32361")</f>
        <v>6500</v>
      </c>
      <c r="E29" s="8" t="n">
        <f aca="false">F29-D29</f>
        <v>800</v>
      </c>
      <c r="F29" s="8" t="n">
        <f aca="false">SUMIFS(Rashodi_detalji!$N$10:$N$85,Rashodi_detalji!$B$10:$B$85,"A2202-01",Rashodi_detalji!$E$10:$E$85,"451",Rashodi_detalji!$F$10:$F$85,"32361")</f>
        <v>7300</v>
      </c>
      <c r="G29" s="9" t="n">
        <f aca="false">IF(D29=0,"-",F29/D29*100)</f>
        <v>112.307692307692</v>
      </c>
    </row>
    <row r="30" customFormat="false" ht="15" hidden="false" customHeight="false" outlineLevel="0" collapsed="false">
      <c r="A30" s="6" t="s">
        <v>302</v>
      </c>
      <c r="B30" s="6" t="s">
        <v>303</v>
      </c>
      <c r="C30" s="7" t="s">
        <v>205</v>
      </c>
      <c r="D30" s="8" t="n">
        <f aca="false">SUMIFS(Rashodi_detalji!$L$10:$L$85,Rashodi_detalji!$B$10:$B$85,"A2202-01",Rashodi_detalji!$E$10:$E$85,"451",Rashodi_detalji!$F$10:$F$85,"32379")</f>
        <v>2300</v>
      </c>
      <c r="E30" s="8" t="n">
        <f aca="false">F30-D30</f>
        <v>200</v>
      </c>
      <c r="F30" s="8" t="n">
        <f aca="false">SUMIFS(Rashodi_detalji!$N$10:$N$85,Rashodi_detalji!$B$10:$B$85,"A2202-01",Rashodi_detalji!$E$10:$E$85,"451",Rashodi_detalji!$F$10:$F$85,"32379")</f>
        <v>2500</v>
      </c>
      <c r="G30" s="9" t="n">
        <f aca="false">IF(D30=0,"-",F30/D30*100)</f>
        <v>108.695652173913</v>
      </c>
    </row>
    <row r="31" customFormat="false" ht="15" hidden="false" customHeight="false" outlineLevel="0" collapsed="false">
      <c r="A31" s="6" t="s">
        <v>304</v>
      </c>
      <c r="B31" s="6" t="s">
        <v>305</v>
      </c>
      <c r="C31" s="7" t="s">
        <v>205</v>
      </c>
      <c r="D31" s="8" t="n">
        <f aca="false">SUMIFS(Rashodi_detalji!$L$10:$L$85,Rashodi_detalji!$B$10:$B$85,"A2202-01",Rashodi_detalji!$E$10:$E$85,"451",Rashodi_detalji!$F$10:$F$85,"32389")</f>
        <v>4700</v>
      </c>
      <c r="E31" s="8" t="n">
        <f aca="false">F31-D31</f>
        <v>300</v>
      </c>
      <c r="F31" s="8" t="n">
        <f aca="false">SUMIFS(Rashodi_detalji!$N$10:$N$85,Rashodi_detalji!$B$10:$B$85,"A2202-01",Rashodi_detalji!$E$10:$E$85,"451",Rashodi_detalji!$F$10:$F$85,"32389")</f>
        <v>5000</v>
      </c>
      <c r="G31" s="9" t="n">
        <f aca="false">IF(D31=0,"-",F31/D31*100)</f>
        <v>106.382978723404</v>
      </c>
    </row>
    <row r="32" customFormat="false" ht="15" hidden="false" customHeight="false" outlineLevel="0" collapsed="false">
      <c r="A32" s="6" t="s">
        <v>306</v>
      </c>
      <c r="B32" s="6" t="s">
        <v>307</v>
      </c>
      <c r="C32" s="7" t="s">
        <v>205</v>
      </c>
      <c r="D32" s="8" t="n">
        <f aca="false">SUMIFS(Rashodi_detalji!$L$10:$L$85,Rashodi_detalji!$B$10:$B$85,"A2202-01",Rashodi_detalji!$E$10:$E$85,"451",Rashodi_detalji!$F$10:$F$85,"32922")</f>
        <v>2300</v>
      </c>
      <c r="E32" s="8" t="n">
        <f aca="false">F32-D32</f>
        <v>-300</v>
      </c>
      <c r="F32" s="8" t="n">
        <f aca="false">SUMIFS(Rashodi_detalji!$N$10:$N$85,Rashodi_detalji!$B$10:$B$85,"A2202-01",Rashodi_detalji!$E$10:$E$85,"451",Rashodi_detalji!$F$10:$F$85,"32922")</f>
        <v>2000</v>
      </c>
      <c r="G32" s="9" t="n">
        <f aca="false">IF(D32=0,"-",F32/D32*100)</f>
        <v>86.9565217391304</v>
      </c>
    </row>
    <row r="33" customFormat="false" ht="15" hidden="false" customHeight="false" outlineLevel="0" collapsed="false">
      <c r="A33" s="6" t="s">
        <v>308</v>
      </c>
      <c r="B33" s="6" t="s">
        <v>309</v>
      </c>
      <c r="C33" s="7" t="s">
        <v>205</v>
      </c>
      <c r="D33" s="8" t="n">
        <f aca="false">SUMIFS(Rashodi_detalji!$L$10:$L$85,Rashodi_detalji!$B$10:$B$85,"A2202-01",Rashodi_detalji!$E$10:$E$85,"451",Rashodi_detalji!$F$10:$F$85,"32941")</f>
        <v>250</v>
      </c>
      <c r="E33" s="8" t="n">
        <f aca="false">F33-D33</f>
        <v>250</v>
      </c>
      <c r="F33" s="8" t="n">
        <f aca="false">SUMIFS(Rashodi_detalji!$N$10:$N$85,Rashodi_detalji!$B$10:$B$85,"A2202-01",Rashodi_detalji!$E$10:$E$85,"451",Rashodi_detalji!$F$10:$F$85,"32941")</f>
        <v>500</v>
      </c>
      <c r="G33" s="9" t="n">
        <f aca="false">IF(D33=0,"-",F33/D33*100)</f>
        <v>200</v>
      </c>
    </row>
    <row r="34" customFormat="false" ht="15" hidden="false" customHeight="false" outlineLevel="0" collapsed="false">
      <c r="A34" s="6" t="s">
        <v>310</v>
      </c>
      <c r="B34" s="6" t="s">
        <v>311</v>
      </c>
      <c r="C34" s="7" t="s">
        <v>205</v>
      </c>
      <c r="D34" s="8" t="n">
        <f aca="false">SUMIFS(Rashodi_detalji!$L$10:$L$85,Rashodi_detalji!$B$10:$B$85,"A2202-01",Rashodi_detalji!$E$10:$E$85,"451",Rashodi_detalji!$F$10:$F$85,"34312")</f>
        <v>600</v>
      </c>
      <c r="E34" s="8" t="n">
        <f aca="false">F34-D34</f>
        <v>200</v>
      </c>
      <c r="F34" s="8" t="n">
        <f aca="false">SUMIFS(Rashodi_detalji!$N$10:$N$85,Rashodi_detalji!$B$10:$B$85,"A2202-01",Rashodi_detalji!$E$10:$E$85,"451",Rashodi_detalji!$F$10:$F$85,"34312")</f>
        <v>800</v>
      </c>
      <c r="G34" s="9" t="n">
        <f aca="false">IF(D34=0,"-",F34/D34*100)</f>
        <v>133.333333333333</v>
      </c>
    </row>
    <row r="35" customFormat="false" ht="15" hidden="false" customHeight="false" outlineLevel="0" collapsed="false">
      <c r="A35" s="15" t="s">
        <v>312</v>
      </c>
      <c r="B35" s="15" t="s">
        <v>313</v>
      </c>
      <c r="C35" s="16"/>
      <c r="D35" s="17" t="n">
        <f aca="false">SUMIFS(Rashodi_detalji!$L$10:$L$85,Rashodi_detalji!$B$10:$B$85,"A2202-04")</f>
        <v>2109879.17</v>
      </c>
      <c r="E35" s="17" t="n">
        <f aca="false">F35-D35</f>
        <v>370270.83</v>
      </c>
      <c r="F35" s="17" t="n">
        <f aca="false">SUMIFS(Rashodi_detalji!$N$10:$N$85,Rashodi_detalji!$B$10:$B$85,"A2202-04")</f>
        <v>2480150</v>
      </c>
      <c r="G35" s="18" t="n">
        <f aca="false">IF(D35=0,"-",F35/D35*100)</f>
        <v>117.549385541353</v>
      </c>
    </row>
    <row r="36" customFormat="false" ht="15" hidden="false" customHeight="false" outlineLevel="0" collapsed="false">
      <c r="A36" s="29" t="s">
        <v>314</v>
      </c>
      <c r="B36" s="29" t="s">
        <v>315</v>
      </c>
      <c r="C36" s="30" t="s">
        <v>236</v>
      </c>
      <c r="D36" s="31" t="n">
        <f aca="false">SUMIFS(Rashodi_detalji!$L$10:$L$85,Rashodi_detalji!$B$10:$B$85,"A2202-04",Rashodi_detalji!$E$10:$E$85,"51035")</f>
        <v>2109879.17</v>
      </c>
      <c r="E36" s="31" t="n">
        <f aca="false">F36-D36</f>
        <v>370270.83</v>
      </c>
      <c r="F36" s="31" t="n">
        <f aca="false">SUMIFS(Rashodi_detalji!$N$10:$N$85,Rashodi_detalji!$B$10:$B$85,"A2202-04",Rashodi_detalji!$E$10:$E$85,"51035")</f>
        <v>2480150</v>
      </c>
      <c r="G36" s="32" t="n">
        <f aca="false">IF(D36=0,"-",F36/D36*100)</f>
        <v>117.549385541353</v>
      </c>
    </row>
    <row r="37" customFormat="false" ht="15" hidden="false" customHeight="false" outlineLevel="0" collapsed="false">
      <c r="A37" s="6" t="s">
        <v>316</v>
      </c>
      <c r="B37" s="6" t="s">
        <v>105</v>
      </c>
      <c r="C37" s="7" t="s">
        <v>236</v>
      </c>
      <c r="D37" s="8" t="n">
        <f aca="false">SUMIFS(Rashodi_detalji!$L$10:$L$85,Rashodi_detalji!$B$10:$B$85,"A2202-04",Rashodi_detalji!$E$10:$E$85,"51035",Rashodi_detalji!$F$10:$F$85,"31111")</f>
        <v>1632490.54</v>
      </c>
      <c r="E37" s="8" t="n">
        <f aca="false">F37-D37</f>
        <v>298509.46</v>
      </c>
      <c r="F37" s="8" t="n">
        <f aca="false">SUMIFS(Rashodi_detalji!$N$10:$N$85,Rashodi_detalji!$B$10:$B$85,"A2202-04",Rashodi_detalji!$E$10:$E$85,"51035",Rashodi_detalji!$F$10:$F$85,"31111")</f>
        <v>1931000</v>
      </c>
      <c r="G37" s="9" t="n">
        <f aca="false">IF(D37=0,"-",F37/D37*100)</f>
        <v>118.285524643837</v>
      </c>
    </row>
    <row r="38" customFormat="false" ht="15" hidden="false" customHeight="false" outlineLevel="0" collapsed="false">
      <c r="A38" s="6" t="s">
        <v>108</v>
      </c>
      <c r="B38" s="6" t="s">
        <v>107</v>
      </c>
      <c r="C38" s="7" t="s">
        <v>236</v>
      </c>
      <c r="D38" s="8" t="n">
        <f aca="false">SUMIFS(Rashodi_detalji!$L$10:$L$85,Rashodi_detalji!$B$10:$B$85,"A2202-04",Rashodi_detalji!$E$10:$E$85,"51035",Rashodi_detalji!$F$10:$F$85,"3121")</f>
        <v>65338.63</v>
      </c>
      <c r="E38" s="8" t="n">
        <f aca="false">F38-D38</f>
        <v>19661.37</v>
      </c>
      <c r="F38" s="8" t="n">
        <f aca="false">SUMIFS(Rashodi_detalji!$N$10:$N$85,Rashodi_detalji!$B$10:$B$85,"A2202-04",Rashodi_detalji!$E$10:$E$85,"51035",Rashodi_detalji!$F$10:$F$85,"3121")</f>
        <v>85000</v>
      </c>
      <c r="G38" s="9" t="n">
        <f aca="false">IF(D38=0,"-",F38/D38*100)</f>
        <v>130.091494113054</v>
      </c>
    </row>
    <row r="39" customFormat="false" ht="15" hidden="false" customHeight="false" outlineLevel="0" collapsed="false">
      <c r="A39" s="6" t="s">
        <v>317</v>
      </c>
      <c r="B39" s="6" t="s">
        <v>318</v>
      </c>
      <c r="C39" s="7" t="s">
        <v>236</v>
      </c>
      <c r="D39" s="8" t="n">
        <f aca="false">SUMIFS(Rashodi_detalji!$L$10:$L$85,Rashodi_detalji!$B$10:$B$85,"A2202-04",Rashodi_detalji!$E$10:$E$85,"51035",Rashodi_detalji!$F$10:$F$85,"31321")</f>
        <v>266500</v>
      </c>
      <c r="E39" s="8" t="n">
        <f aca="false">F39-D39</f>
        <v>51500</v>
      </c>
      <c r="F39" s="8" t="n">
        <f aca="false">SUMIFS(Rashodi_detalji!$N$10:$N$85,Rashodi_detalji!$B$10:$B$85,"A2202-04",Rashodi_detalji!$E$10:$E$85,"51035",Rashodi_detalji!$F$10:$F$85,"31321")</f>
        <v>318000</v>
      </c>
      <c r="G39" s="9" t="n">
        <f aca="false">IF(D39=0,"-",F39/D39*100)</f>
        <v>119.324577861163</v>
      </c>
    </row>
    <row r="40" customFormat="false" ht="15" hidden="false" customHeight="false" outlineLevel="0" collapsed="false">
      <c r="A40" s="6" t="s">
        <v>319</v>
      </c>
      <c r="B40" s="6" t="s">
        <v>320</v>
      </c>
      <c r="C40" s="7" t="s">
        <v>236</v>
      </c>
      <c r="D40" s="8" t="n">
        <f aca="false">SUMIFS(Rashodi_detalji!$L$10:$L$85,Rashodi_detalji!$B$10:$B$85,"A2202-04",Rashodi_detalji!$E$10:$E$85,"51035",Rashodi_detalji!$F$10:$F$85,"32121")</f>
        <v>139400</v>
      </c>
      <c r="E40" s="8" t="n">
        <f aca="false">F40-D40</f>
        <v>600</v>
      </c>
      <c r="F40" s="8" t="n">
        <f aca="false">SUMIFS(Rashodi_detalji!$N$10:$N$85,Rashodi_detalji!$B$10:$B$85,"A2202-04",Rashodi_detalji!$E$10:$E$85,"51035",Rashodi_detalji!$F$10:$F$85,"32121")</f>
        <v>140000</v>
      </c>
      <c r="G40" s="9" t="n">
        <f aca="false">IF(D40=0,"-",F40/D40*100)</f>
        <v>100.430416068867</v>
      </c>
    </row>
    <row r="41" customFormat="false" ht="15" hidden="false" customHeight="false" outlineLevel="0" collapsed="false">
      <c r="A41" s="6" t="s">
        <v>321</v>
      </c>
      <c r="B41" s="6" t="s">
        <v>322</v>
      </c>
      <c r="C41" s="7" t="s">
        <v>236</v>
      </c>
      <c r="D41" s="8" t="n">
        <f aca="false">SUMIFS(Rashodi_detalji!$L$10:$L$85,Rashodi_detalji!$B$10:$B$85,"A2202-04",Rashodi_detalji!$E$10:$E$85,"51035",Rashodi_detalji!$F$10:$F$85,"32955")</f>
        <v>6150</v>
      </c>
      <c r="E41" s="8" t="n">
        <f aca="false">F41-D41</f>
        <v>0</v>
      </c>
      <c r="F41" s="8" t="n">
        <f aca="false">SUMIFS(Rashodi_detalji!$N$10:$N$85,Rashodi_detalji!$B$10:$B$85,"A2202-04",Rashodi_detalji!$E$10:$E$85,"51035",Rashodi_detalji!$F$10:$F$85,"32955")</f>
        <v>6150</v>
      </c>
      <c r="G41" s="9" t="n">
        <f aca="false">IF(D41=0,"-",F41/D41*100)</f>
        <v>100</v>
      </c>
    </row>
    <row r="42" customFormat="false" ht="15" hidden="false" customHeight="false" outlineLevel="0" collapsed="false">
      <c r="A42" s="11" t="s">
        <v>323</v>
      </c>
      <c r="B42" s="11" t="s">
        <v>324</v>
      </c>
      <c r="C42" s="12"/>
      <c r="D42" s="13" t="n">
        <f aca="false">SUMIFS(Rashodi_detalji!$L$10:$L$85,Rashodi_detalji!$A$10:$A$85,"2203")</f>
        <v>263509.55</v>
      </c>
      <c r="E42" s="13" t="n">
        <f aca="false">F42-D42</f>
        <v>42521.06</v>
      </c>
      <c r="F42" s="13" t="n">
        <f aca="false">SUMIFS(Rashodi_detalji!$N$10:$N$85,Rashodi_detalji!$A$10:$A$85,"2203")</f>
        <v>306030.61</v>
      </c>
      <c r="G42" s="14" t="n">
        <f aca="false">IF(D42=0,"-",F42/D42*100)</f>
        <v>116.13643983681</v>
      </c>
    </row>
    <row r="43" customFormat="false" ht="15" hidden="false" customHeight="false" outlineLevel="0" collapsed="false">
      <c r="A43" s="15" t="s">
        <v>325</v>
      </c>
      <c r="B43" s="15" t="s">
        <v>326</v>
      </c>
      <c r="C43" s="16"/>
      <c r="D43" s="17" t="n">
        <f aca="false">SUMIFS(Rashodi_detalji!$L$10:$L$85,Rashodi_detalji!$B$10:$B$85,"T2203-02")</f>
        <v>15270.01</v>
      </c>
      <c r="E43" s="17" t="n">
        <f aca="false">F43-D43</f>
        <v>0</v>
      </c>
      <c r="F43" s="17" t="n">
        <f aca="false">SUMIFS(Rashodi_detalji!$N$10:$N$85,Rashodi_detalji!$B$10:$B$85,"T2203-02")</f>
        <v>15270.01</v>
      </c>
      <c r="G43" s="18" t="n">
        <f aca="false">IF(D43=0,"-",F43/D43*100)</f>
        <v>100</v>
      </c>
    </row>
    <row r="44" customFormat="false" ht="15" hidden="false" customHeight="false" outlineLevel="0" collapsed="false">
      <c r="A44" s="29" t="s">
        <v>327</v>
      </c>
      <c r="B44" s="29" t="s">
        <v>328</v>
      </c>
      <c r="C44" s="30" t="s">
        <v>214</v>
      </c>
      <c r="D44" s="31" t="n">
        <f aca="false">SUMIFS(Rashodi_detalji!$L$10:$L$85,Rashodi_detalji!$B$10:$B$85,"T2203-02",Rashodi_detalji!$E$10:$E$85,"110")</f>
        <v>15270.01</v>
      </c>
      <c r="E44" s="31" t="n">
        <f aca="false">F44-D44</f>
        <v>0</v>
      </c>
      <c r="F44" s="31" t="n">
        <f aca="false">SUMIFS(Rashodi_detalji!$N$10:$N$85,Rashodi_detalji!$B$10:$B$85,"T2203-02",Rashodi_detalji!$E$10:$E$85,"110")</f>
        <v>15270.01</v>
      </c>
      <c r="G44" s="32" t="n">
        <f aca="false">IF(D44=0,"-",F44/D44*100)</f>
        <v>100</v>
      </c>
    </row>
    <row r="45" customFormat="false" ht="15" hidden="false" customHeight="false" outlineLevel="0" collapsed="false">
      <c r="A45" s="6" t="s">
        <v>329</v>
      </c>
      <c r="B45" s="6" t="s">
        <v>202</v>
      </c>
      <c r="C45" s="7" t="s">
        <v>214</v>
      </c>
      <c r="D45" s="8" t="n">
        <f aca="false">SUMIFS(Rashodi_detalji!$L$10:$L$85,Rashodi_detalji!$B$10:$B$85,"T2203-02",Rashodi_detalji!$E$10:$E$85,"110",Rashodi_detalji!$F$10:$F$85,"42641")</f>
        <v>15270.01</v>
      </c>
      <c r="E45" s="8" t="n">
        <f aca="false">F45-D45</f>
        <v>0</v>
      </c>
      <c r="F45" s="8" t="n">
        <f aca="false">SUMIFS(Rashodi_detalji!$N$10:$N$85,Rashodi_detalji!$B$10:$B$85,"T2203-02",Rashodi_detalji!$E$10:$E$85,"110",Rashodi_detalji!$F$10:$F$85,"42641")</f>
        <v>15270.01</v>
      </c>
      <c r="G45" s="9" t="n">
        <f aca="false">IF(D45=0,"-",F45/D45*100)</f>
        <v>100</v>
      </c>
    </row>
    <row r="46" customFormat="false" ht="15" hidden="false" customHeight="false" outlineLevel="0" collapsed="false">
      <c r="A46" s="15" t="s">
        <v>330</v>
      </c>
      <c r="B46" s="15" t="s">
        <v>331</v>
      </c>
      <c r="C46" s="16"/>
      <c r="D46" s="17" t="n">
        <f aca="false">SUMIFS(Rashodi_detalji!$L$10:$L$85,Rashodi_detalji!$B$10:$B$85,"A2203-04")</f>
        <v>115879.54</v>
      </c>
      <c r="E46" s="17" t="n">
        <f aca="false">F46-D46</f>
        <v>11465.26</v>
      </c>
      <c r="F46" s="17" t="n">
        <f aca="false">SUMIFS(Rashodi_detalji!$N$10:$N$85,Rashodi_detalji!$B$10:$B$85,"A2203-04")</f>
        <v>127344.8</v>
      </c>
      <c r="G46" s="18" t="n">
        <f aca="false">IF(D46=0,"-",F46/D46*100)</f>
        <v>109.894119358776</v>
      </c>
    </row>
    <row r="47" customFormat="false" ht="15" hidden="false" customHeight="false" outlineLevel="0" collapsed="false">
      <c r="A47" s="29" t="s">
        <v>332</v>
      </c>
      <c r="B47" s="29" t="s">
        <v>333</v>
      </c>
      <c r="C47" s="30" t="s">
        <v>100</v>
      </c>
      <c r="D47" s="31" t="n">
        <f aca="false">SUMIFS(Rashodi_detalji!$L$10:$L$85,Rashodi_detalji!$B$10:$B$85,"A2203-04",Rashodi_detalji!$E$10:$E$85,"31")</f>
        <v>21748.07</v>
      </c>
      <c r="E47" s="31" t="n">
        <f aca="false">F47-D47</f>
        <v>-200</v>
      </c>
      <c r="F47" s="31" t="n">
        <f aca="false">SUMIFS(Rashodi_detalji!$N$10:$N$85,Rashodi_detalji!$B$10:$B$85,"A2203-04",Rashodi_detalji!$E$10:$E$85,"31")</f>
        <v>21548.07</v>
      </c>
      <c r="G47" s="32" t="n">
        <f aca="false">IF(D47=0,"-",F47/D47*100)</f>
        <v>99.0803781668902</v>
      </c>
    </row>
    <row r="48" customFormat="false" ht="15" hidden="false" customHeight="false" outlineLevel="0" collapsed="false">
      <c r="A48" s="6" t="s">
        <v>319</v>
      </c>
      <c r="B48" s="6" t="s">
        <v>320</v>
      </c>
      <c r="C48" s="7" t="s">
        <v>100</v>
      </c>
      <c r="D48" s="8" t="n">
        <f aca="false">SUMIFS(Rashodi_detalji!$L$10:$L$85,Rashodi_detalji!$B$10:$B$85,"A2203-04",Rashodi_detalji!$E$10:$E$85,"31",Rashodi_detalji!$F$10:$F$85,"32121")</f>
        <v>1100</v>
      </c>
      <c r="E48" s="8" t="n">
        <f aca="false">F48-D48</f>
        <v>-100</v>
      </c>
      <c r="F48" s="8" t="n">
        <f aca="false">SUMIFS(Rashodi_detalji!$N$10:$N$85,Rashodi_detalji!$B$10:$B$85,"A2203-04",Rashodi_detalji!$E$10:$E$85,"31",Rashodi_detalji!$F$10:$F$85,"32121")</f>
        <v>1000</v>
      </c>
      <c r="G48" s="9" t="n">
        <f aca="false">IF(D48=0,"-",F48/D48*100)</f>
        <v>90.9090909090909</v>
      </c>
    </row>
    <row r="49" customFormat="false" ht="15" hidden="false" customHeight="false" outlineLevel="0" collapsed="false">
      <c r="A49" s="6" t="s">
        <v>274</v>
      </c>
      <c r="B49" s="6" t="s">
        <v>275</v>
      </c>
      <c r="C49" s="7" t="s">
        <v>100</v>
      </c>
      <c r="D49" s="8" t="n">
        <f aca="false">SUMIFS(Rashodi_detalji!$L$10:$L$85,Rashodi_detalji!$B$10:$B$85,"A2203-04",Rashodi_detalji!$E$10:$E$85,"31",Rashodi_detalji!$F$10:$F$85,"32131")</f>
        <v>2500</v>
      </c>
      <c r="E49" s="8" t="n">
        <f aca="false">F49-D49</f>
        <v>500</v>
      </c>
      <c r="F49" s="8" t="n">
        <f aca="false">SUMIFS(Rashodi_detalji!$N$10:$N$85,Rashodi_detalji!$B$10:$B$85,"A2203-04",Rashodi_detalji!$E$10:$E$85,"31",Rashodi_detalji!$F$10:$F$85,"32131")</f>
        <v>3000</v>
      </c>
      <c r="G49" s="9" t="n">
        <f aca="false">IF(D49=0,"-",F49/D49*100)</f>
        <v>120</v>
      </c>
    </row>
    <row r="50" customFormat="false" ht="15" hidden="false" customHeight="false" outlineLevel="0" collapsed="false">
      <c r="A50" s="6" t="s">
        <v>285</v>
      </c>
      <c r="B50" s="6" t="s">
        <v>286</v>
      </c>
      <c r="C50" s="7" t="s">
        <v>100</v>
      </c>
      <c r="D50" s="8" t="n">
        <f aca="false">SUMIFS(Rashodi_detalji!$L$10:$L$85,Rashodi_detalji!$B$10:$B$85,"A2203-04",Rashodi_detalji!$E$10:$E$85,"31",Rashodi_detalji!$F$10:$F$85,"32241")</f>
        <v>2000</v>
      </c>
      <c r="E50" s="8" t="n">
        <f aca="false">F50-D50</f>
        <v>0</v>
      </c>
      <c r="F50" s="8" t="n">
        <f aca="false">SUMIFS(Rashodi_detalji!$N$10:$N$85,Rashodi_detalji!$B$10:$B$85,"A2203-04",Rashodi_detalji!$E$10:$E$85,"31",Rashodi_detalji!$F$10:$F$85,"32241")</f>
        <v>2000</v>
      </c>
      <c r="G50" s="9" t="n">
        <f aca="false">IF(D50=0,"-",F50/D50*100)</f>
        <v>100</v>
      </c>
    </row>
    <row r="51" customFormat="false" ht="15" hidden="false" customHeight="false" outlineLevel="0" collapsed="false">
      <c r="A51" s="6" t="s">
        <v>292</v>
      </c>
      <c r="B51" s="6" t="s">
        <v>293</v>
      </c>
      <c r="C51" s="7" t="s">
        <v>100</v>
      </c>
      <c r="D51" s="8" t="n">
        <f aca="false">SUMIFS(Rashodi_detalji!$L$10:$L$85,Rashodi_detalji!$B$10:$B$85,"A2203-04",Rashodi_detalji!$E$10:$E$85,"31",Rashodi_detalji!$F$10:$F$85,"32321")</f>
        <v>3318.07</v>
      </c>
      <c r="E51" s="8" t="n">
        <f aca="false">F51-D51</f>
        <v>0</v>
      </c>
      <c r="F51" s="8" t="n">
        <f aca="false">SUMIFS(Rashodi_detalji!$N$10:$N$85,Rashodi_detalji!$B$10:$B$85,"A2203-04",Rashodi_detalji!$E$10:$E$85,"31",Rashodi_detalji!$F$10:$F$85,"32321")</f>
        <v>3318.07</v>
      </c>
      <c r="G51" s="9" t="n">
        <f aca="false">IF(D51=0,"-",F51/D51*100)</f>
        <v>100</v>
      </c>
    </row>
    <row r="52" customFormat="false" ht="15" hidden="false" customHeight="false" outlineLevel="0" collapsed="false">
      <c r="A52" s="6" t="s">
        <v>294</v>
      </c>
      <c r="B52" s="6" t="s">
        <v>295</v>
      </c>
      <c r="C52" s="7" t="s">
        <v>100</v>
      </c>
      <c r="D52" s="8" t="n">
        <f aca="false">SUMIFS(Rashodi_detalji!$L$10:$L$85,Rashodi_detalji!$B$10:$B$85,"A2203-04",Rashodi_detalji!$E$10:$E$85,"31",Rashodi_detalji!$F$10:$F$85,"32341")</f>
        <v>5000</v>
      </c>
      <c r="E52" s="8" t="n">
        <f aca="false">F52-D52</f>
        <v>-4000</v>
      </c>
      <c r="F52" s="8" t="n">
        <f aca="false">SUMIFS(Rashodi_detalji!$N$10:$N$85,Rashodi_detalji!$B$10:$B$85,"A2203-04",Rashodi_detalji!$E$10:$E$85,"31",Rashodi_detalji!$F$10:$F$85,"32341")</f>
        <v>1000</v>
      </c>
      <c r="G52" s="9" t="n">
        <f aca="false">IF(D52=0,"-",F52/D52*100)</f>
        <v>20</v>
      </c>
    </row>
    <row r="53" customFormat="false" ht="15" hidden="false" customHeight="false" outlineLevel="0" collapsed="false">
      <c r="A53" s="6" t="s">
        <v>298</v>
      </c>
      <c r="B53" s="6" t="s">
        <v>299</v>
      </c>
      <c r="C53" s="7" t="s">
        <v>100</v>
      </c>
      <c r="D53" s="8" t="n">
        <f aca="false">SUMIFS(Rashodi_detalji!$L$10:$L$85,Rashodi_detalji!$B$10:$B$85,"A2203-04",Rashodi_detalji!$E$10:$E$85,"31",Rashodi_detalji!$F$10:$F$85,"32359")</f>
        <v>2000</v>
      </c>
      <c r="E53" s="8" t="n">
        <f aca="false">F53-D53</f>
        <v>1000</v>
      </c>
      <c r="F53" s="8" t="n">
        <f aca="false">SUMIFS(Rashodi_detalji!$N$10:$N$85,Rashodi_detalji!$B$10:$B$85,"A2203-04",Rashodi_detalji!$E$10:$E$85,"31",Rashodi_detalji!$F$10:$F$85,"32359")</f>
        <v>3000</v>
      </c>
      <c r="G53" s="9" t="n">
        <f aca="false">IF(D53=0,"-",F53/D53*100)</f>
        <v>150</v>
      </c>
    </row>
    <row r="54" customFormat="false" ht="15" hidden="false" customHeight="false" outlineLevel="0" collapsed="false">
      <c r="A54" s="6" t="s">
        <v>302</v>
      </c>
      <c r="B54" s="6" t="s">
        <v>303</v>
      </c>
      <c r="C54" s="7" t="s">
        <v>100</v>
      </c>
      <c r="D54" s="8" t="n">
        <f aca="false">SUMIFS(Rashodi_detalji!$L$10:$L$85,Rashodi_detalji!$B$10:$B$85,"A2203-04",Rashodi_detalji!$E$10:$E$85,"31",Rashodi_detalji!$F$10:$F$85,"32379")</f>
        <v>600</v>
      </c>
      <c r="E54" s="8" t="n">
        <f aca="false">F54-D54</f>
        <v>400</v>
      </c>
      <c r="F54" s="8" t="n">
        <f aca="false">SUMIFS(Rashodi_detalji!$N$10:$N$85,Rashodi_detalji!$B$10:$B$85,"A2203-04",Rashodi_detalji!$E$10:$E$85,"31",Rashodi_detalji!$F$10:$F$85,"32379")</f>
        <v>1000</v>
      </c>
      <c r="G54" s="9" t="n">
        <f aca="false">IF(D54=0,"-",F54/D54*100)</f>
        <v>166.666666666667</v>
      </c>
    </row>
    <row r="55" customFormat="false" ht="15" hidden="false" customHeight="false" outlineLevel="0" collapsed="false">
      <c r="A55" s="6" t="s">
        <v>334</v>
      </c>
      <c r="B55" s="6" t="s">
        <v>335</v>
      </c>
      <c r="C55" s="7" t="s">
        <v>100</v>
      </c>
      <c r="D55" s="8" t="n">
        <f aca="false">SUMIFS(Rashodi_detalji!$L$10:$L$85,Rashodi_detalji!$B$10:$B$85,"A2203-04",Rashodi_detalji!$E$10:$E$85,"31",Rashodi_detalji!$F$10:$F$85,"32382")</f>
        <v>330</v>
      </c>
      <c r="E55" s="8" t="n">
        <f aca="false">F55-D55</f>
        <v>0</v>
      </c>
      <c r="F55" s="8" t="n">
        <f aca="false">SUMIFS(Rashodi_detalji!$N$10:$N$85,Rashodi_detalji!$B$10:$B$85,"A2203-04",Rashodi_detalji!$E$10:$E$85,"31",Rashodi_detalji!$F$10:$F$85,"32382")</f>
        <v>330</v>
      </c>
      <c r="G55" s="9" t="n">
        <f aca="false">IF(D55=0,"-",F55/D55*100)</f>
        <v>100</v>
      </c>
    </row>
    <row r="56" customFormat="false" ht="15" hidden="false" customHeight="false" outlineLevel="0" collapsed="false">
      <c r="A56" s="6" t="s">
        <v>336</v>
      </c>
      <c r="B56" s="6" t="s">
        <v>337</v>
      </c>
      <c r="C56" s="7" t="s">
        <v>100</v>
      </c>
      <c r="D56" s="8" t="n">
        <f aca="false">SUMIFS(Rashodi_detalji!$L$10:$L$85,Rashodi_detalji!$B$10:$B$85,"A2203-04",Rashodi_detalji!$E$10:$E$85,"31",Rashodi_detalji!$F$10:$F$85,"32394")</f>
        <v>400</v>
      </c>
      <c r="E56" s="8" t="n">
        <f aca="false">F56-D56</f>
        <v>0</v>
      </c>
      <c r="F56" s="8" t="n">
        <f aca="false">SUMIFS(Rashodi_detalji!$N$10:$N$85,Rashodi_detalji!$B$10:$B$85,"A2203-04",Rashodi_detalji!$E$10:$E$85,"31",Rashodi_detalji!$F$10:$F$85,"32394")</f>
        <v>400</v>
      </c>
      <c r="G56" s="9" t="n">
        <f aca="false">IF(D56=0,"-",F56/D56*100)</f>
        <v>100</v>
      </c>
    </row>
    <row r="57" customFormat="false" ht="15" hidden="false" customHeight="false" outlineLevel="0" collapsed="false">
      <c r="A57" s="6" t="s">
        <v>338</v>
      </c>
      <c r="B57" s="6" t="s">
        <v>339</v>
      </c>
      <c r="C57" s="7" t="s">
        <v>100</v>
      </c>
      <c r="D57" s="8" t="n">
        <f aca="false">SUMIFS(Rashodi_detalji!$L$10:$L$85,Rashodi_detalji!$B$10:$B$85,"A2203-04",Rashodi_detalji!$E$10:$E$85,"31",Rashodi_detalji!$F$10:$F$85,"34333")</f>
        <v>500</v>
      </c>
      <c r="E57" s="8" t="n">
        <f aca="false">F57-D57</f>
        <v>0</v>
      </c>
      <c r="F57" s="8" t="n">
        <f aca="false">SUMIFS(Rashodi_detalji!$N$10:$N$85,Rashodi_detalji!$B$10:$B$85,"A2203-04",Rashodi_detalji!$E$10:$E$85,"31",Rashodi_detalji!$F$10:$F$85,"34333")</f>
        <v>500</v>
      </c>
      <c r="G57" s="9" t="n">
        <f aca="false">IF(D57=0,"-",F57/D57*100)</f>
        <v>100</v>
      </c>
    </row>
    <row r="58" customFormat="false" ht="15" hidden="false" customHeight="false" outlineLevel="0" collapsed="false">
      <c r="A58" s="6" t="s">
        <v>340</v>
      </c>
      <c r="B58" s="6" t="s">
        <v>341</v>
      </c>
      <c r="C58" s="7" t="s">
        <v>100</v>
      </c>
      <c r="D58" s="8" t="n">
        <f aca="false">SUMIFS(Rashodi_detalji!$L$10:$L$85,Rashodi_detalji!$B$10:$B$85,"A2203-04",Rashodi_detalji!$E$10:$E$85,"31",Rashodi_detalji!$F$10:$F$85,"42219")</f>
        <v>2000</v>
      </c>
      <c r="E58" s="8" t="n">
        <f aca="false">F58-D58</f>
        <v>2000</v>
      </c>
      <c r="F58" s="8" t="n">
        <f aca="false">SUMIFS(Rashodi_detalji!$N$10:$N$85,Rashodi_detalji!$B$10:$B$85,"A2203-04",Rashodi_detalji!$E$10:$E$85,"31",Rashodi_detalji!$F$10:$F$85,"42219")</f>
        <v>4000</v>
      </c>
      <c r="G58" s="9" t="n">
        <f aca="false">IF(D58=0,"-",F58/D58*100)</f>
        <v>200</v>
      </c>
    </row>
    <row r="59" customFormat="false" ht="15" hidden="false" customHeight="false" outlineLevel="0" collapsed="false">
      <c r="A59" s="6" t="s">
        <v>342</v>
      </c>
      <c r="B59" s="6" t="s">
        <v>343</v>
      </c>
      <c r="C59" s="7" t="s">
        <v>100</v>
      </c>
      <c r="D59" s="8" t="n">
        <f aca="false">SUMIFS(Rashodi_detalji!$L$10:$L$85,Rashodi_detalji!$B$10:$B$85,"A2203-04",Rashodi_detalji!$E$10:$E$85,"31",Rashodi_detalji!$F$10:$F$85,"42271")</f>
        <v>2000</v>
      </c>
      <c r="E59" s="8" t="n">
        <f aca="false">F59-D59</f>
        <v>0</v>
      </c>
      <c r="F59" s="8" t="n">
        <f aca="false">SUMIFS(Rashodi_detalji!$N$10:$N$85,Rashodi_detalji!$B$10:$B$85,"A2203-04",Rashodi_detalji!$E$10:$E$85,"31",Rashodi_detalji!$F$10:$F$85,"42271")</f>
        <v>2000</v>
      </c>
      <c r="G59" s="9" t="n">
        <f aca="false">IF(D59=0,"-",F59/D59*100)</f>
        <v>100</v>
      </c>
    </row>
    <row r="60" customFormat="false" ht="15" hidden="false" customHeight="false" outlineLevel="0" collapsed="false">
      <c r="A60" s="29" t="s">
        <v>344</v>
      </c>
      <c r="B60" s="29" t="s">
        <v>223</v>
      </c>
      <c r="C60" s="30" t="s">
        <v>222</v>
      </c>
      <c r="D60" s="31" t="n">
        <f aca="false">SUMIFS(Rashodi_detalji!$L$10:$L$85,Rashodi_detalji!$B$10:$B$85,"A2203-04",Rashodi_detalji!$E$10:$E$85,"41")</f>
        <v>11100</v>
      </c>
      <c r="E60" s="31" t="n">
        <f aca="false">F60-D60</f>
        <v>6550</v>
      </c>
      <c r="F60" s="31" t="n">
        <f aca="false">SUMIFS(Rashodi_detalji!$N$10:$N$85,Rashodi_detalji!$B$10:$B$85,"A2203-04",Rashodi_detalji!$E$10:$E$85,"41")</f>
        <v>17650</v>
      </c>
      <c r="G60" s="32" t="n">
        <f aca="false">IF(D60=0,"-",F60/D60*100)</f>
        <v>159.009009009009</v>
      </c>
    </row>
    <row r="61" customFormat="false" ht="15" hidden="false" customHeight="false" outlineLevel="0" collapsed="false">
      <c r="A61" s="6" t="s">
        <v>345</v>
      </c>
      <c r="B61" s="6" t="s">
        <v>346</v>
      </c>
      <c r="C61" s="7" t="s">
        <v>222</v>
      </c>
      <c r="D61" s="8" t="n">
        <f aca="false">SUMIFS(Rashodi_detalji!$L$10:$L$85,Rashodi_detalji!$B$10:$B$85,"A2203-04",Rashodi_detalji!$E$10:$E$85,"41",Rashodi_detalji!$F$10:$F$85,"31213")</f>
        <v>400</v>
      </c>
      <c r="E61" s="8" t="n">
        <f aca="false">F61-D61</f>
        <v>0</v>
      </c>
      <c r="F61" s="8" t="n">
        <f aca="false">SUMIFS(Rashodi_detalji!$N$10:$N$85,Rashodi_detalji!$B$10:$B$85,"A2203-04",Rashodi_detalji!$E$10:$E$85,"41",Rashodi_detalji!$F$10:$F$85,"31213")</f>
        <v>400</v>
      </c>
      <c r="G61" s="9" t="n">
        <f aca="false">IF(D61=0,"-",F61/D61*100)</f>
        <v>100</v>
      </c>
    </row>
    <row r="62" customFormat="false" ht="15" hidden="false" customHeight="false" outlineLevel="0" collapsed="false">
      <c r="A62" s="6" t="s">
        <v>347</v>
      </c>
      <c r="B62" s="6" t="s">
        <v>348</v>
      </c>
      <c r="C62" s="7" t="s">
        <v>222</v>
      </c>
      <c r="D62" s="8" t="n">
        <f aca="false">SUMIFS(Rashodi_detalji!$L$10:$L$85,Rashodi_detalji!$B$10:$B$85,"A2203-04",Rashodi_detalji!$E$10:$E$85,"41",Rashodi_detalji!$F$10:$F$85,"31216")</f>
        <v>350</v>
      </c>
      <c r="E62" s="8" t="n">
        <f aca="false">F62-D62</f>
        <v>150</v>
      </c>
      <c r="F62" s="8" t="n">
        <f aca="false">SUMIFS(Rashodi_detalji!$N$10:$N$85,Rashodi_detalji!$B$10:$B$85,"A2203-04",Rashodi_detalji!$E$10:$E$85,"41",Rashodi_detalji!$F$10:$F$85,"31216")</f>
        <v>500</v>
      </c>
      <c r="G62" s="9" t="n">
        <f aca="false">IF(D62=0,"-",F62/D62*100)</f>
        <v>142.857142857143</v>
      </c>
    </row>
    <row r="63" customFormat="false" ht="15" hidden="false" customHeight="false" outlineLevel="0" collapsed="false">
      <c r="A63" s="6" t="s">
        <v>349</v>
      </c>
      <c r="B63" s="6" t="s">
        <v>350</v>
      </c>
      <c r="C63" s="7" t="s">
        <v>222</v>
      </c>
      <c r="D63" s="8" t="n">
        <f aca="false">SUMIFS(Rashodi_detalji!$L$10:$L$85,Rashodi_detalji!$B$10:$B$85,"A2203-04",Rashodi_detalji!$E$10:$E$85,"41",Rashodi_detalji!$F$10:$F$85,"31219")</f>
        <v>350</v>
      </c>
      <c r="E63" s="8" t="n">
        <f aca="false">F63-D63</f>
        <v>150</v>
      </c>
      <c r="F63" s="8" t="n">
        <f aca="false">SUMIFS(Rashodi_detalji!$N$10:$N$85,Rashodi_detalji!$B$10:$B$85,"A2203-04",Rashodi_detalji!$E$10:$E$85,"41",Rashodi_detalji!$F$10:$F$85,"31219")</f>
        <v>500</v>
      </c>
      <c r="G63" s="9" t="n">
        <f aca="false">IF(D63=0,"-",F63/D63*100)</f>
        <v>142.857142857143</v>
      </c>
    </row>
    <row r="64" customFormat="false" ht="15" hidden="false" customHeight="false" outlineLevel="0" collapsed="false">
      <c r="A64" s="6" t="s">
        <v>279</v>
      </c>
      <c r="B64" s="6" t="s">
        <v>280</v>
      </c>
      <c r="C64" s="7" t="s">
        <v>222</v>
      </c>
      <c r="D64" s="8" t="n">
        <f aca="false">SUMIFS(Rashodi_detalji!$L$10:$L$85,Rashodi_detalji!$B$10:$B$85,"A2203-04",Rashodi_detalji!$E$10:$E$85,"41",Rashodi_detalji!$F$10:$F$85,"32221")</f>
        <v>2000</v>
      </c>
      <c r="E64" s="8" t="n">
        <f aca="false">F64-D64</f>
        <v>0</v>
      </c>
      <c r="F64" s="8" t="n">
        <f aca="false">SUMIFS(Rashodi_detalji!$N$10:$N$85,Rashodi_detalji!$B$10:$B$85,"A2203-04",Rashodi_detalji!$E$10:$E$85,"41",Rashodi_detalji!$F$10:$F$85,"32221")</f>
        <v>2000</v>
      </c>
      <c r="G64" s="9" t="n">
        <f aca="false">IF(D64=0,"-",F64/D64*100)</f>
        <v>100</v>
      </c>
    </row>
    <row r="65" customFormat="false" ht="15" hidden="false" customHeight="false" outlineLevel="0" collapsed="false">
      <c r="A65" s="6" t="s">
        <v>351</v>
      </c>
      <c r="B65" s="6" t="s">
        <v>352</v>
      </c>
      <c r="C65" s="7" t="s">
        <v>222</v>
      </c>
      <c r="D65" s="8" t="n">
        <f aca="false">SUMIFS(Rashodi_detalji!$L$10:$L$85,Rashodi_detalji!$B$10:$B$85,"A2203-04",Rashodi_detalji!$E$10:$E$85,"41",Rashodi_detalji!$F$10:$F$85,"32224")</f>
        <v>5000</v>
      </c>
      <c r="E65" s="8" t="n">
        <f aca="false">F65-D65</f>
        <v>6250</v>
      </c>
      <c r="F65" s="8" t="n">
        <f aca="false">SUMIFS(Rashodi_detalji!$N$10:$N$85,Rashodi_detalji!$B$10:$B$85,"A2203-04",Rashodi_detalji!$E$10:$E$85,"41",Rashodi_detalji!$F$10:$F$85,"32224")</f>
        <v>11250</v>
      </c>
      <c r="G65" s="9" t="n">
        <f aca="false">IF(D65=0,"-",F65/D65*100)</f>
        <v>225</v>
      </c>
    </row>
    <row r="66" customFormat="false" ht="15" hidden="false" customHeight="false" outlineLevel="0" collapsed="false">
      <c r="A66" s="6" t="s">
        <v>298</v>
      </c>
      <c r="B66" s="6" t="s">
        <v>299</v>
      </c>
      <c r="C66" s="7" t="s">
        <v>222</v>
      </c>
      <c r="D66" s="8" t="n">
        <f aca="false">SUMIFS(Rashodi_detalji!$L$10:$L$85,Rashodi_detalji!$B$10:$B$85,"A2203-04",Rashodi_detalji!$E$10:$E$85,"41",Rashodi_detalji!$F$10:$F$85,"32359")</f>
        <v>3000</v>
      </c>
      <c r="E66" s="8" t="n">
        <f aca="false">F66-D66</f>
        <v>0</v>
      </c>
      <c r="F66" s="8" t="n">
        <f aca="false">SUMIFS(Rashodi_detalji!$N$10:$N$85,Rashodi_detalji!$B$10:$B$85,"A2203-04",Rashodi_detalji!$E$10:$E$85,"41",Rashodi_detalji!$F$10:$F$85,"32359")</f>
        <v>3000</v>
      </c>
      <c r="G66" s="9" t="n">
        <f aca="false">IF(D66=0,"-",F66/D66*100)</f>
        <v>100</v>
      </c>
    </row>
    <row r="67" customFormat="false" ht="15" hidden="false" customHeight="false" outlineLevel="0" collapsed="false">
      <c r="A67" s="29" t="s">
        <v>353</v>
      </c>
      <c r="B67" s="29" t="s">
        <v>354</v>
      </c>
      <c r="C67" s="30" t="s">
        <v>226</v>
      </c>
      <c r="D67" s="31" t="n">
        <f aca="false">SUMIFS(Rashodi_detalji!$L$10:$L$85,Rashodi_detalji!$B$10:$B$85,"A2203-04",Rashodi_detalji!$E$10:$E$85,"42034")</f>
        <v>21125</v>
      </c>
      <c r="E67" s="31" t="n">
        <f aca="false">F67-D67</f>
        <v>1901.73</v>
      </c>
      <c r="F67" s="31" t="n">
        <f aca="false">SUMIFS(Rashodi_detalji!$N$10:$N$85,Rashodi_detalji!$B$10:$B$85,"A2203-04",Rashodi_detalji!$E$10:$E$85,"42034")</f>
        <v>23026.73</v>
      </c>
      <c r="G67" s="32" t="n">
        <f aca="false">IF(D67=0,"-",F67/D67*100)</f>
        <v>109.002272189349</v>
      </c>
    </row>
    <row r="68" customFormat="false" ht="15" hidden="false" customHeight="false" outlineLevel="0" collapsed="false">
      <c r="A68" s="6" t="s">
        <v>279</v>
      </c>
      <c r="B68" s="6" t="s">
        <v>280</v>
      </c>
      <c r="C68" s="7" t="s">
        <v>226</v>
      </c>
      <c r="D68" s="8" t="n">
        <f aca="false">SUMIFS(Rashodi_detalji!$L$10:$L$85,Rashodi_detalji!$B$10:$B$85,"A2203-04",Rashodi_detalji!$E$10:$E$85,"42034",Rashodi_detalji!$F$10:$F$85,"32221")</f>
        <v>350</v>
      </c>
      <c r="E68" s="8" t="n">
        <f aca="false">F68-D68</f>
        <v>0</v>
      </c>
      <c r="F68" s="8" t="n">
        <f aca="false">SUMIFS(Rashodi_detalji!$N$10:$N$85,Rashodi_detalji!$B$10:$B$85,"A2203-04",Rashodi_detalji!$E$10:$E$85,"42034",Rashodi_detalji!$F$10:$F$85,"32221")</f>
        <v>350</v>
      </c>
      <c r="G68" s="9" t="n">
        <f aca="false">IF(D68=0,"-",F68/D68*100)</f>
        <v>100</v>
      </c>
    </row>
    <row r="69" customFormat="false" ht="15" hidden="false" customHeight="false" outlineLevel="0" collapsed="false">
      <c r="A69" s="6" t="s">
        <v>351</v>
      </c>
      <c r="B69" s="6" t="s">
        <v>352</v>
      </c>
      <c r="C69" s="7" t="s">
        <v>226</v>
      </c>
      <c r="D69" s="8" t="n">
        <f aca="false">SUMIFS(Rashodi_detalji!$L$10:$L$85,Rashodi_detalji!$B$10:$B$85,"A2203-04",Rashodi_detalji!$E$10:$E$85,"42034",Rashodi_detalji!$F$10:$F$85,"32224")</f>
        <v>4000</v>
      </c>
      <c r="E69" s="8" t="n">
        <f aca="false">F69-D69</f>
        <v>-4000</v>
      </c>
      <c r="F69" s="8" t="n">
        <f aca="false">SUMIFS(Rashodi_detalji!$N$10:$N$85,Rashodi_detalji!$B$10:$B$85,"A2203-04",Rashodi_detalji!$E$10:$E$85,"42034",Rashodi_detalji!$F$10:$F$85,"32224")</f>
        <v>0</v>
      </c>
      <c r="G69" s="9" t="n">
        <f aca="false">IF(D69=0,"-",F69/D69*100)</f>
        <v>0</v>
      </c>
    </row>
    <row r="70" customFormat="false" ht="15" hidden="false" customHeight="false" outlineLevel="0" collapsed="false">
      <c r="A70" s="6" t="s">
        <v>285</v>
      </c>
      <c r="B70" s="6" t="s">
        <v>286</v>
      </c>
      <c r="C70" s="7" t="s">
        <v>226</v>
      </c>
      <c r="D70" s="8" t="n">
        <f aca="false">SUMIFS(Rashodi_detalji!$L$10:$L$85,Rashodi_detalji!$B$10:$B$85,"A2203-04",Rashodi_detalji!$E$10:$E$85,"42034",Rashodi_detalji!$F$10:$F$85,"32241")</f>
        <v>0</v>
      </c>
      <c r="E70" s="8" t="n">
        <f aca="false">F70-D70</f>
        <v>1000</v>
      </c>
      <c r="F70" s="8" t="n">
        <f aca="false">SUMIFS(Rashodi_detalji!$N$10:$N$85,Rashodi_detalji!$B$10:$B$85,"A2203-04",Rashodi_detalji!$E$10:$E$85,"42034",Rashodi_detalji!$F$10:$F$85,"32241")</f>
        <v>1000</v>
      </c>
      <c r="G70" s="9" t="str">
        <f aca="false">IF(D70=0,"-",F70/D70*100)</f>
        <v>-</v>
      </c>
    </row>
    <row r="71" customFormat="false" ht="15" hidden="false" customHeight="false" outlineLevel="0" collapsed="false">
      <c r="A71" s="6" t="s">
        <v>292</v>
      </c>
      <c r="B71" s="6" t="s">
        <v>293</v>
      </c>
      <c r="C71" s="7" t="s">
        <v>226</v>
      </c>
      <c r="D71" s="8" t="n">
        <f aca="false">SUMIFS(Rashodi_detalji!$L$10:$L$85,Rashodi_detalji!$B$10:$B$85,"A2203-04",Rashodi_detalji!$E$10:$E$85,"42034",Rashodi_detalji!$F$10:$F$85,"32321")</f>
        <v>1000</v>
      </c>
      <c r="E71" s="8" t="n">
        <f aca="false">F71-D71</f>
        <v>1901.97</v>
      </c>
      <c r="F71" s="8" t="n">
        <f aca="false">SUMIFS(Rashodi_detalji!$N$10:$N$85,Rashodi_detalji!$B$10:$B$85,"A2203-04",Rashodi_detalji!$E$10:$E$85,"42034",Rashodi_detalji!$F$10:$F$85,"32321")</f>
        <v>2901.97</v>
      </c>
      <c r="G71" s="9" t="n">
        <f aca="false">IF(D71=0,"-",F71/D71*100)</f>
        <v>290.197</v>
      </c>
    </row>
    <row r="72" customFormat="false" ht="15" hidden="false" customHeight="false" outlineLevel="0" collapsed="false">
      <c r="A72" s="6" t="s">
        <v>355</v>
      </c>
      <c r="B72" s="6" t="s">
        <v>356</v>
      </c>
      <c r="C72" s="7" t="s">
        <v>226</v>
      </c>
      <c r="D72" s="8" t="n">
        <f aca="false">SUMIFS(Rashodi_detalji!$L$10:$L$85,Rashodi_detalji!$B$10:$B$85,"A2203-04",Rashodi_detalji!$E$10:$E$85,"42034",Rashodi_detalji!$F$10:$F$85,"32322")</f>
        <v>1500</v>
      </c>
      <c r="E72" s="8" t="n">
        <f aca="false">F72-D72</f>
        <v>-1500</v>
      </c>
      <c r="F72" s="8" t="n">
        <f aca="false">SUMIFS(Rashodi_detalji!$N$10:$N$85,Rashodi_detalji!$B$10:$B$85,"A2203-04",Rashodi_detalji!$E$10:$E$85,"42034",Rashodi_detalji!$F$10:$F$85,"32322")</f>
        <v>0</v>
      </c>
      <c r="G72" s="9" t="n">
        <f aca="false">IF(D72=0,"-",F72/D72*100)</f>
        <v>0</v>
      </c>
    </row>
    <row r="73" customFormat="false" ht="15" hidden="false" customHeight="false" outlineLevel="0" collapsed="false">
      <c r="A73" s="6" t="s">
        <v>334</v>
      </c>
      <c r="B73" s="6" t="s">
        <v>335</v>
      </c>
      <c r="C73" s="7" t="s">
        <v>226</v>
      </c>
      <c r="D73" s="8" t="n">
        <f aca="false">SUMIFS(Rashodi_detalji!$L$10:$L$85,Rashodi_detalji!$B$10:$B$85,"A2203-04",Rashodi_detalji!$E$10:$E$85,"42034",Rashodi_detalji!$F$10:$F$85,"32382")</f>
        <v>330</v>
      </c>
      <c r="E73" s="8" t="n">
        <f aca="false">F73-D73</f>
        <v>170</v>
      </c>
      <c r="F73" s="8" t="n">
        <f aca="false">SUMIFS(Rashodi_detalji!$N$10:$N$85,Rashodi_detalji!$B$10:$B$85,"A2203-04",Rashodi_detalji!$E$10:$E$85,"42034",Rashodi_detalji!$F$10:$F$85,"32382")</f>
        <v>500</v>
      </c>
      <c r="G73" s="9" t="n">
        <f aca="false">IF(D73=0,"-",F73/D73*100)</f>
        <v>151.515151515152</v>
      </c>
    </row>
    <row r="74" customFormat="false" ht="15" hidden="false" customHeight="false" outlineLevel="0" collapsed="false">
      <c r="A74" s="6" t="s">
        <v>357</v>
      </c>
      <c r="B74" s="6" t="s">
        <v>162</v>
      </c>
      <c r="C74" s="7" t="s">
        <v>226</v>
      </c>
      <c r="D74" s="8" t="n">
        <f aca="false">SUMIFS(Rashodi_detalji!$L$10:$L$85,Rashodi_detalji!$B$10:$B$85,"A2203-04",Rashodi_detalji!$E$10:$E$85,"42034",Rashodi_detalji!$F$10:$F$85,"32931")</f>
        <v>2000</v>
      </c>
      <c r="E74" s="8" t="n">
        <f aca="false">F74-D74</f>
        <v>-500</v>
      </c>
      <c r="F74" s="8" t="n">
        <f aca="false">SUMIFS(Rashodi_detalji!$N$10:$N$85,Rashodi_detalji!$B$10:$B$85,"A2203-04",Rashodi_detalji!$E$10:$E$85,"42034",Rashodi_detalji!$F$10:$F$85,"32931")</f>
        <v>1500</v>
      </c>
      <c r="G74" s="9" t="n">
        <f aca="false">IF(D74=0,"-",F74/D74*100)</f>
        <v>75</v>
      </c>
    </row>
    <row r="75" customFormat="false" ht="15" hidden="false" customHeight="false" outlineLevel="0" collapsed="false">
      <c r="A75" s="6" t="s">
        <v>340</v>
      </c>
      <c r="B75" s="6" t="s">
        <v>341</v>
      </c>
      <c r="C75" s="7" t="s">
        <v>226</v>
      </c>
      <c r="D75" s="8" t="n">
        <f aca="false">SUMIFS(Rashodi_detalji!$L$10:$L$85,Rashodi_detalji!$B$10:$B$85,"A2203-04",Rashodi_detalji!$E$10:$E$85,"42034",Rashodi_detalji!$F$10:$F$85,"42219")</f>
        <v>0</v>
      </c>
      <c r="E75" s="8" t="n">
        <f aca="false">F75-D75</f>
        <v>1500</v>
      </c>
      <c r="F75" s="8" t="n">
        <f aca="false">SUMIFS(Rashodi_detalji!$N$10:$N$85,Rashodi_detalji!$B$10:$B$85,"A2203-04",Rashodi_detalji!$E$10:$E$85,"42034",Rashodi_detalji!$F$10:$F$85,"42219")</f>
        <v>1500</v>
      </c>
      <c r="G75" s="9" t="str">
        <f aca="false">IF(D75=0,"-",F75/D75*100)</f>
        <v>-</v>
      </c>
    </row>
    <row r="76" customFormat="false" ht="15" hidden="false" customHeight="false" outlineLevel="0" collapsed="false">
      <c r="A76" s="6" t="s">
        <v>342</v>
      </c>
      <c r="B76" s="6" t="s">
        <v>343</v>
      </c>
      <c r="C76" s="7" t="s">
        <v>226</v>
      </c>
      <c r="D76" s="8" t="n">
        <f aca="false">SUMIFS(Rashodi_detalji!$L$10:$L$85,Rashodi_detalji!$B$10:$B$85,"A2203-04",Rashodi_detalji!$E$10:$E$85,"42034",Rashodi_detalji!$F$10:$F$85,"42271")</f>
        <v>0</v>
      </c>
      <c r="E76" s="8" t="n">
        <f aca="false">F76-D76</f>
        <v>2407.43</v>
      </c>
      <c r="F76" s="8" t="n">
        <f aca="false">SUMIFS(Rashodi_detalji!$N$10:$N$85,Rashodi_detalji!$B$10:$B$85,"A2203-04",Rashodi_detalji!$E$10:$E$85,"42034",Rashodi_detalji!$F$10:$F$85,"42271")</f>
        <v>2407.43</v>
      </c>
      <c r="G76" s="9" t="str">
        <f aca="false">IF(D76=0,"-",F76/D76*100)</f>
        <v>-</v>
      </c>
    </row>
    <row r="77" customFormat="false" ht="15" hidden="false" customHeight="false" outlineLevel="0" collapsed="false">
      <c r="A77" s="6" t="s">
        <v>358</v>
      </c>
      <c r="B77" s="6" t="s">
        <v>206</v>
      </c>
      <c r="C77" s="7" t="s">
        <v>226</v>
      </c>
      <c r="D77" s="8" t="n">
        <f aca="false">SUMIFS(Rashodi_detalji!$L$10:$L$85,Rashodi_detalji!$B$10:$B$85,"A2203-04",Rashodi_detalji!$E$10:$E$85,"42034",Rashodi_detalji!$F$10:$F$85,"45111")</f>
        <v>11945</v>
      </c>
      <c r="E77" s="8" t="n">
        <f aca="false">F77-D77</f>
        <v>922.33</v>
      </c>
      <c r="F77" s="8" t="n">
        <f aca="false">SUMIFS(Rashodi_detalji!$N$10:$N$85,Rashodi_detalji!$B$10:$B$85,"A2203-04",Rashodi_detalji!$E$10:$E$85,"42034",Rashodi_detalji!$F$10:$F$85,"45111")</f>
        <v>12867.33</v>
      </c>
      <c r="G77" s="9" t="n">
        <f aca="false">IF(D77=0,"-",F77/D77*100)</f>
        <v>107.721473419841</v>
      </c>
    </row>
    <row r="78" customFormat="false" ht="15" hidden="false" customHeight="false" outlineLevel="0" collapsed="false">
      <c r="A78" s="29" t="s">
        <v>359</v>
      </c>
      <c r="B78" s="29" t="s">
        <v>360</v>
      </c>
      <c r="C78" s="30" t="s">
        <v>232</v>
      </c>
      <c r="D78" s="31" t="n">
        <f aca="false">SUMIFS(Rashodi_detalji!$L$10:$L$85,Rashodi_detalji!$B$10:$B$85,"A2203-04",Rashodi_detalji!$E$10:$E$85,"5103")</f>
        <v>3500</v>
      </c>
      <c r="E78" s="31" t="n">
        <f aca="false">F78-D78</f>
        <v>0</v>
      </c>
      <c r="F78" s="31" t="n">
        <f aca="false">SUMIFS(Rashodi_detalji!$N$10:$N$85,Rashodi_detalji!$B$10:$B$85,"A2203-04",Rashodi_detalji!$E$10:$E$85,"5103")</f>
        <v>3500</v>
      </c>
      <c r="G78" s="32" t="n">
        <f aca="false">IF(D78=0,"-",F78/D78*100)</f>
        <v>100</v>
      </c>
    </row>
    <row r="79" customFormat="false" ht="15" hidden="false" customHeight="false" outlineLevel="0" collapsed="false">
      <c r="A79" s="6" t="s">
        <v>279</v>
      </c>
      <c r="B79" s="6" t="s">
        <v>280</v>
      </c>
      <c r="C79" s="7" t="s">
        <v>232</v>
      </c>
      <c r="D79" s="8" t="n">
        <f aca="false">SUMIFS(Rashodi_detalji!$L$10:$L$85,Rashodi_detalji!$B$10:$B$85,"A2203-04",Rashodi_detalji!$E$10:$E$85,"5103",Rashodi_detalji!$F$10:$F$85,"32221")</f>
        <v>300</v>
      </c>
      <c r="E79" s="8" t="n">
        <f aca="false">F79-D79</f>
        <v>0</v>
      </c>
      <c r="F79" s="8" t="n">
        <f aca="false">SUMIFS(Rashodi_detalji!$N$10:$N$85,Rashodi_detalji!$B$10:$B$85,"A2203-04",Rashodi_detalji!$E$10:$E$85,"5103",Rashodi_detalji!$F$10:$F$85,"32221")</f>
        <v>300</v>
      </c>
      <c r="G79" s="9" t="n">
        <f aca="false">IF(D79=0,"-",F79/D79*100)</f>
        <v>100</v>
      </c>
    </row>
    <row r="80" customFormat="false" ht="15" hidden="false" customHeight="false" outlineLevel="0" collapsed="false">
      <c r="A80" s="6" t="s">
        <v>361</v>
      </c>
      <c r="B80" s="6" t="s">
        <v>362</v>
      </c>
      <c r="C80" s="7" t="s">
        <v>232</v>
      </c>
      <c r="D80" s="8" t="n">
        <f aca="false">SUMIFS(Rashodi_detalji!$L$10:$L$85,Rashodi_detalji!$B$10:$B$85,"A2203-04",Rashodi_detalji!$E$10:$E$85,"5103",Rashodi_detalji!$F$10:$F$85,"32372")</f>
        <v>200</v>
      </c>
      <c r="E80" s="8" t="n">
        <f aca="false">F80-D80</f>
        <v>0</v>
      </c>
      <c r="F80" s="8" t="n">
        <f aca="false">SUMIFS(Rashodi_detalji!$N$10:$N$85,Rashodi_detalji!$B$10:$B$85,"A2203-04",Rashodi_detalji!$E$10:$E$85,"5103",Rashodi_detalji!$F$10:$F$85,"32372")</f>
        <v>200</v>
      </c>
      <c r="G80" s="9" t="n">
        <f aca="false">IF(D80=0,"-",F80/D80*100)</f>
        <v>100</v>
      </c>
    </row>
    <row r="81" customFormat="false" ht="15" hidden="false" customHeight="false" outlineLevel="0" collapsed="false">
      <c r="A81" s="6" t="s">
        <v>363</v>
      </c>
      <c r="B81" s="6" t="s">
        <v>364</v>
      </c>
      <c r="C81" s="7" t="s">
        <v>232</v>
      </c>
      <c r="D81" s="8" t="n">
        <f aca="false">SUMIFS(Rashodi_detalji!$L$10:$L$85,Rashodi_detalji!$B$10:$B$85,"A2203-04",Rashodi_detalji!$E$10:$E$85,"5103",Rashodi_detalji!$F$10:$F$85,"37221")</f>
        <v>3000</v>
      </c>
      <c r="E81" s="8" t="n">
        <f aca="false">F81-D81</f>
        <v>0</v>
      </c>
      <c r="F81" s="8" t="n">
        <f aca="false">SUMIFS(Rashodi_detalji!$N$10:$N$85,Rashodi_detalji!$B$10:$B$85,"A2203-04",Rashodi_detalji!$E$10:$E$85,"5103",Rashodi_detalji!$F$10:$F$85,"37221")</f>
        <v>3000</v>
      </c>
      <c r="G81" s="9" t="n">
        <f aca="false">IF(D81=0,"-",F81/D81*100)</f>
        <v>100</v>
      </c>
    </row>
    <row r="82" customFormat="false" ht="15" hidden="false" customHeight="false" outlineLevel="0" collapsed="false">
      <c r="A82" s="29" t="s">
        <v>365</v>
      </c>
      <c r="B82" s="29" t="s">
        <v>366</v>
      </c>
      <c r="C82" s="30" t="s">
        <v>234</v>
      </c>
      <c r="D82" s="31" t="n">
        <f aca="false">SUMIFS(Rashodi_detalji!$L$10:$L$85,Rashodi_detalji!$B$10:$B$85,"A2203-04",Rashodi_detalji!$E$10:$E$85,"51034")</f>
        <v>800</v>
      </c>
      <c r="E82" s="31" t="n">
        <f aca="false">F82-D82</f>
        <v>0</v>
      </c>
      <c r="F82" s="31" t="n">
        <f aca="false">SUMIFS(Rashodi_detalji!$N$10:$N$85,Rashodi_detalji!$B$10:$B$85,"A2203-04",Rashodi_detalji!$E$10:$E$85,"51034")</f>
        <v>800</v>
      </c>
      <c r="G82" s="32" t="n">
        <f aca="false">IF(D82=0,"-",F82/D82*100)</f>
        <v>100</v>
      </c>
    </row>
    <row r="83" customFormat="false" ht="15" hidden="false" customHeight="false" outlineLevel="0" collapsed="false">
      <c r="A83" s="6" t="s">
        <v>367</v>
      </c>
      <c r="B83" s="6" t="s">
        <v>368</v>
      </c>
      <c r="C83" s="7" t="s">
        <v>234</v>
      </c>
      <c r="D83" s="8" t="n">
        <f aca="false">SUMIFS(Rashodi_detalji!$L$10:$L$85,Rashodi_detalji!$B$10:$B$85,"A2203-04",Rashodi_detalji!$E$10:$E$85,"51034",Rashodi_detalji!$F$10:$F$85,"42411")</f>
        <v>800</v>
      </c>
      <c r="E83" s="8" t="n">
        <f aca="false">F83-D83</f>
        <v>0</v>
      </c>
      <c r="F83" s="8" t="n">
        <f aca="false">SUMIFS(Rashodi_detalji!$N$10:$N$85,Rashodi_detalji!$B$10:$B$85,"A2203-04",Rashodi_detalji!$E$10:$E$85,"51034",Rashodi_detalji!$F$10:$F$85,"42411")</f>
        <v>800</v>
      </c>
      <c r="G83" s="9" t="n">
        <f aca="false">IF(D83=0,"-",F83/D83*100)</f>
        <v>100</v>
      </c>
    </row>
    <row r="84" customFormat="false" ht="15" hidden="false" customHeight="false" outlineLevel="0" collapsed="false">
      <c r="A84" s="29" t="s">
        <v>369</v>
      </c>
      <c r="B84" s="29" t="s">
        <v>370</v>
      </c>
      <c r="C84" s="30" t="s">
        <v>244</v>
      </c>
      <c r="D84" s="31" t="n">
        <f aca="false">SUMIFS(Rashodi_detalji!$L$10:$L$85,Rashodi_detalji!$B$10:$B$85,"A2203-04",Rashodi_detalji!$E$10:$E$85,"53")</f>
        <v>57606.47</v>
      </c>
      <c r="E84" s="31" t="n">
        <f aca="false">F84-D84</f>
        <v>3213.53</v>
      </c>
      <c r="F84" s="31" t="n">
        <f aca="false">SUMIFS(Rashodi_detalji!$N$10:$N$85,Rashodi_detalji!$B$10:$B$85,"A2203-04",Rashodi_detalji!$E$10:$E$85,"53")</f>
        <v>60820</v>
      </c>
      <c r="G84" s="32" t="n">
        <f aca="false">IF(D84=0,"-",F84/D84*100)</f>
        <v>105.578418535279</v>
      </c>
    </row>
    <row r="85" customFormat="false" ht="15" hidden="false" customHeight="false" outlineLevel="0" collapsed="false">
      <c r="A85" s="6" t="s">
        <v>316</v>
      </c>
      <c r="B85" s="6" t="s">
        <v>105</v>
      </c>
      <c r="C85" s="7" t="s">
        <v>244</v>
      </c>
      <c r="D85" s="8" t="n">
        <f aca="false">SUMIFS(Rashodi_detalji!$L$10:$L$85,Rashodi_detalji!$B$10:$B$85,"A2203-04",Rashodi_detalji!$E$10:$E$85,"53",Rashodi_detalji!$F$10:$F$85,"31111")</f>
        <v>14156.27</v>
      </c>
      <c r="E85" s="8" t="n">
        <f aca="false">F85-D85</f>
        <v>2843.73</v>
      </c>
      <c r="F85" s="8" t="n">
        <f aca="false">SUMIFS(Rashodi_detalji!$N$10:$N$85,Rashodi_detalji!$B$10:$B$85,"A2203-04",Rashodi_detalji!$E$10:$E$85,"53",Rashodi_detalji!$F$10:$F$85,"31111")</f>
        <v>17000</v>
      </c>
      <c r="G85" s="9" t="n">
        <f aca="false">IF(D85=0,"-",F85/D85*100)</f>
        <v>120.088130559816</v>
      </c>
    </row>
    <row r="86" customFormat="false" ht="15" hidden="false" customHeight="false" outlineLevel="0" collapsed="false">
      <c r="A86" s="6" t="s">
        <v>317</v>
      </c>
      <c r="B86" s="6" t="s">
        <v>318</v>
      </c>
      <c r="C86" s="7" t="s">
        <v>244</v>
      </c>
      <c r="D86" s="8" t="n">
        <f aca="false">SUMIFS(Rashodi_detalji!$L$10:$L$85,Rashodi_detalji!$B$10:$B$85,"A2203-04",Rashodi_detalji!$E$10:$E$85,"53",Rashodi_detalji!$F$10:$F$85,"31321")</f>
        <v>2450.2</v>
      </c>
      <c r="E86" s="8" t="n">
        <f aca="false">F86-D86</f>
        <v>369.8</v>
      </c>
      <c r="F86" s="8" t="n">
        <f aca="false">SUMIFS(Rashodi_detalji!$N$10:$N$85,Rashodi_detalji!$B$10:$B$85,"A2203-04",Rashodi_detalji!$E$10:$E$85,"53",Rashodi_detalji!$F$10:$F$85,"31321")</f>
        <v>2820</v>
      </c>
      <c r="G86" s="9" t="n">
        <f aca="false">IF(D86=0,"-",F86/D86*100)</f>
        <v>115.092645498327</v>
      </c>
    </row>
    <row r="87" customFormat="false" ht="15" hidden="false" customHeight="false" outlineLevel="0" collapsed="false">
      <c r="A87" s="6" t="s">
        <v>371</v>
      </c>
      <c r="B87" s="6" t="s">
        <v>372</v>
      </c>
      <c r="C87" s="7" t="s">
        <v>244</v>
      </c>
      <c r="D87" s="8" t="n">
        <f aca="false">SUMIFS(Rashodi_detalji!$L$10:$L$85,Rashodi_detalji!$B$10:$B$85,"A2203-04",Rashodi_detalji!$E$10:$E$85,"53",Rashodi_detalji!$F$10:$F$85,"37229")</f>
        <v>41000</v>
      </c>
      <c r="E87" s="8" t="n">
        <f aca="false">F87-D87</f>
        <v>0</v>
      </c>
      <c r="F87" s="8" t="n">
        <f aca="false">SUMIFS(Rashodi_detalji!$N$10:$N$85,Rashodi_detalji!$B$10:$B$85,"A2203-04",Rashodi_detalji!$E$10:$E$85,"53",Rashodi_detalji!$F$10:$F$85,"37229")</f>
        <v>41000</v>
      </c>
      <c r="G87" s="9" t="n">
        <f aca="false">IF(D87=0,"-",F87/D87*100)</f>
        <v>100</v>
      </c>
    </row>
    <row r="88" customFormat="false" ht="15" hidden="false" customHeight="false" outlineLevel="0" collapsed="false">
      <c r="A88" s="15" t="s">
        <v>373</v>
      </c>
      <c r="B88" s="15" t="s">
        <v>374</v>
      </c>
      <c r="C88" s="16"/>
      <c r="D88" s="17" t="n">
        <f aca="false">SUMIFS(Rashodi_detalji!$L$10:$L$85,Rashodi_detalji!$B$10:$B$85,"A2203-27")</f>
        <v>31000</v>
      </c>
      <c r="E88" s="17" t="n">
        <f aca="false">F88-D88</f>
        <v>31055.8</v>
      </c>
      <c r="F88" s="17" t="n">
        <f aca="false">SUMIFS(Rashodi_detalji!$N$10:$N$85,Rashodi_detalji!$B$10:$B$85,"A2203-27")</f>
        <v>62055.8</v>
      </c>
      <c r="G88" s="18" t="n">
        <f aca="false">IF(D88=0,"-",F88/D88*100)</f>
        <v>200.18</v>
      </c>
    </row>
    <row r="89" customFormat="false" ht="15" hidden="false" customHeight="false" outlineLevel="0" collapsed="false">
      <c r="A89" s="29" t="s">
        <v>353</v>
      </c>
      <c r="B89" s="29" t="s">
        <v>354</v>
      </c>
      <c r="C89" s="30" t="s">
        <v>226</v>
      </c>
      <c r="D89" s="31" t="n">
        <f aca="false">SUMIFS(Rashodi_detalji!$L$10:$L$85,Rashodi_detalji!$B$10:$B$85,"A2203-27",Rashodi_detalji!$E$10:$E$85,"42034")</f>
        <v>0</v>
      </c>
      <c r="E89" s="31" t="n">
        <f aca="false">F89-D89</f>
        <v>31055.8</v>
      </c>
      <c r="F89" s="31" t="n">
        <f aca="false">SUMIFS(Rashodi_detalji!$N$10:$N$85,Rashodi_detalji!$B$10:$B$85,"A2203-27",Rashodi_detalji!$E$10:$E$85,"42034")</f>
        <v>31055.8</v>
      </c>
      <c r="G89" s="32" t="str">
        <f aca="false">IF(D89=0,"-",F89/D89*100)</f>
        <v>-</v>
      </c>
    </row>
    <row r="90" customFormat="false" ht="15" hidden="false" customHeight="false" outlineLevel="0" collapsed="false">
      <c r="A90" s="6" t="s">
        <v>367</v>
      </c>
      <c r="B90" s="6" t="s">
        <v>375</v>
      </c>
      <c r="C90" s="7" t="s">
        <v>226</v>
      </c>
      <c r="D90" s="8" t="n">
        <f aca="false">SUMIFS(Rashodi_detalji!$L$10:$L$85,Rashodi_detalji!$B$10:$B$85,"A2203-27",Rashodi_detalji!$E$10:$E$85,"42034",Rashodi_detalji!$F$10:$F$85,"42411")</f>
        <v>0</v>
      </c>
      <c r="E90" s="8" t="n">
        <f aca="false">F90-D90</f>
        <v>31055.8</v>
      </c>
      <c r="F90" s="8" t="n">
        <f aca="false">SUMIFS(Rashodi_detalji!$N$10:$N$85,Rashodi_detalji!$B$10:$B$85,"A2203-27",Rashodi_detalji!$E$10:$E$85,"42034",Rashodi_detalji!$F$10:$F$85,"42411")</f>
        <v>31055.8</v>
      </c>
      <c r="G90" s="9" t="str">
        <f aca="false">IF(D90=0,"-",F90/D90*100)</f>
        <v>-</v>
      </c>
    </row>
    <row r="91" customFormat="false" ht="15" hidden="false" customHeight="false" outlineLevel="0" collapsed="false">
      <c r="A91" s="29" t="s">
        <v>365</v>
      </c>
      <c r="B91" s="29" t="s">
        <v>366</v>
      </c>
      <c r="C91" s="30" t="s">
        <v>234</v>
      </c>
      <c r="D91" s="31" t="n">
        <f aca="false">SUMIFS(Rashodi_detalji!$L$10:$L$85,Rashodi_detalji!$B$10:$B$85,"A2203-27",Rashodi_detalji!$E$10:$E$85,"51034")</f>
        <v>31000</v>
      </c>
      <c r="E91" s="31" t="n">
        <f aca="false">F91-D91</f>
        <v>0</v>
      </c>
      <c r="F91" s="31" t="n">
        <f aca="false">SUMIFS(Rashodi_detalji!$N$10:$N$85,Rashodi_detalji!$B$10:$B$85,"A2203-27",Rashodi_detalji!$E$10:$E$85,"51034")</f>
        <v>31000</v>
      </c>
      <c r="G91" s="32" t="n">
        <f aca="false">IF(D91=0,"-",F91/D91*100)</f>
        <v>100</v>
      </c>
    </row>
    <row r="92" customFormat="false" ht="15" hidden="false" customHeight="false" outlineLevel="0" collapsed="false">
      <c r="A92" s="6" t="s">
        <v>367</v>
      </c>
      <c r="B92" s="6" t="s">
        <v>375</v>
      </c>
      <c r="C92" s="7" t="s">
        <v>234</v>
      </c>
      <c r="D92" s="8" t="n">
        <f aca="false">SUMIFS(Rashodi_detalji!$L$10:$L$85,Rashodi_detalji!$B$10:$B$85,"A2203-27",Rashodi_detalji!$E$10:$E$85,"51034",Rashodi_detalji!$F$10:$F$85,"42411")</f>
        <v>31000</v>
      </c>
      <c r="E92" s="8" t="n">
        <f aca="false">F92-D92</f>
        <v>0</v>
      </c>
      <c r="F92" s="8" t="n">
        <f aca="false">SUMIFS(Rashodi_detalji!$N$10:$N$85,Rashodi_detalji!$B$10:$B$85,"A2203-27",Rashodi_detalji!$E$10:$E$85,"51034",Rashodi_detalji!$F$10:$F$85,"42411")</f>
        <v>31000</v>
      </c>
      <c r="G92" s="9" t="n">
        <f aca="false">IF(D92=0,"-",F92/D92*100)</f>
        <v>100</v>
      </c>
    </row>
    <row r="93" customFormat="false" ht="15" hidden="false" customHeight="false" outlineLevel="0" collapsed="false">
      <c r="A93" s="15" t="s">
        <v>376</v>
      </c>
      <c r="B93" s="15" t="s">
        <v>377</v>
      </c>
      <c r="C93" s="16"/>
      <c r="D93" s="17" t="n">
        <f aca="false">SUMIFS(Rashodi_detalji!$L$10:$L$85,Rashodi_detalji!$B$10:$B$85,"A2203-33")</f>
        <v>100000</v>
      </c>
      <c r="E93" s="17" t="n">
        <f aca="false">F93-D93</f>
        <v>0</v>
      </c>
      <c r="F93" s="17" t="n">
        <f aca="false">SUMIFS(Rashodi_detalji!$N$10:$N$85,Rashodi_detalji!$B$10:$B$85,"A2203-33")</f>
        <v>100000</v>
      </c>
      <c r="G93" s="18" t="n">
        <f aca="false">IF(D93=0,"-",F93/D93*100)</f>
        <v>100</v>
      </c>
    </row>
    <row r="94" customFormat="false" ht="15" hidden="false" customHeight="false" outlineLevel="0" collapsed="false">
      <c r="A94" s="29" t="s">
        <v>378</v>
      </c>
      <c r="B94" s="29" t="s">
        <v>379</v>
      </c>
      <c r="C94" s="30" t="s">
        <v>240</v>
      </c>
      <c r="D94" s="31" t="n">
        <f aca="false">SUMIFS(Rashodi_detalji!$L$10:$L$85,Rashodi_detalji!$B$10:$B$85,"A2203-33",Rashodi_detalji!$E$10:$E$85,"510391")</f>
        <v>100000</v>
      </c>
      <c r="E94" s="31" t="n">
        <f aca="false">F94-D94</f>
        <v>0</v>
      </c>
      <c r="F94" s="31" t="n">
        <f aca="false">SUMIFS(Rashodi_detalji!$N$10:$N$85,Rashodi_detalji!$B$10:$B$85,"A2203-33",Rashodi_detalji!$E$10:$E$85,"510391")</f>
        <v>100000</v>
      </c>
      <c r="G94" s="32" t="n">
        <f aca="false">IF(D94=0,"-",F94/D94*100)</f>
        <v>100</v>
      </c>
    </row>
    <row r="95" customFormat="false" ht="15" hidden="false" customHeight="false" outlineLevel="0" collapsed="false">
      <c r="A95" s="6" t="s">
        <v>351</v>
      </c>
      <c r="B95" s="6" t="s">
        <v>352</v>
      </c>
      <c r="C95" s="7" t="s">
        <v>240</v>
      </c>
      <c r="D95" s="8" t="n">
        <f aca="false">SUMIFS(Rashodi_detalji!$L$10:$L$85,Rashodi_detalji!$B$10:$B$85,"A2203-33",Rashodi_detalji!$E$10:$E$85,"510391",Rashodi_detalji!$F$10:$F$85,"32224")</f>
        <v>100000</v>
      </c>
      <c r="E95" s="8" t="n">
        <f aca="false">F95-D95</f>
        <v>0</v>
      </c>
      <c r="F95" s="8" t="n">
        <f aca="false">SUMIFS(Rashodi_detalji!$N$10:$N$85,Rashodi_detalji!$B$10:$B$85,"A2203-33",Rashodi_detalji!$E$10:$E$85,"510391",Rashodi_detalji!$F$10:$F$85,"32224")</f>
        <v>100000</v>
      </c>
      <c r="G95" s="9" t="n">
        <f aca="false">IF(D95=0,"-",F95/D95*100)</f>
        <v>100</v>
      </c>
    </row>
    <row r="96" customFormat="false" ht="15" hidden="false" customHeight="false" outlineLevel="0" collapsed="false">
      <c r="A96" s="15" t="s">
        <v>380</v>
      </c>
      <c r="B96" s="15" t="s">
        <v>381</v>
      </c>
      <c r="C96" s="16"/>
      <c r="D96" s="17" t="n">
        <f aca="false">SUMIFS(Rashodi_detalji!$L$10:$L$85,Rashodi_detalji!$B$10:$B$85,"A2203-34")</f>
        <v>1360</v>
      </c>
      <c r="E96" s="17" t="n">
        <f aca="false">F96-D96</f>
        <v>0</v>
      </c>
      <c r="F96" s="17" t="n">
        <f aca="false">SUMIFS(Rashodi_detalji!$N$10:$N$85,Rashodi_detalji!$B$10:$B$85,"A2203-34")</f>
        <v>1360</v>
      </c>
      <c r="G96" s="18" t="n">
        <f aca="false">IF(D96=0,"-",F96/D96*100)</f>
        <v>100</v>
      </c>
    </row>
    <row r="97" customFormat="false" ht="15" hidden="false" customHeight="false" outlineLevel="0" collapsed="false">
      <c r="A97" s="29" t="s">
        <v>382</v>
      </c>
      <c r="B97" s="29" t="s">
        <v>383</v>
      </c>
      <c r="C97" s="30" t="s">
        <v>242</v>
      </c>
      <c r="D97" s="31" t="n">
        <f aca="false">SUMIFS(Rashodi_detalji!$L$10:$L$85,Rashodi_detalji!$B$10:$B$85,"A2203-34",Rashodi_detalji!$E$10:$E$85,"511903")</f>
        <v>1360</v>
      </c>
      <c r="E97" s="31" t="n">
        <f aca="false">F97-D97</f>
        <v>0</v>
      </c>
      <c r="F97" s="31" t="n">
        <f aca="false">SUMIFS(Rashodi_detalji!$N$10:$N$85,Rashodi_detalji!$B$10:$B$85,"A2203-34",Rashodi_detalji!$E$10:$E$85,"511903")</f>
        <v>1360</v>
      </c>
      <c r="G97" s="32" t="n">
        <f aca="false">IF(D97=0,"-",F97/D97*100)</f>
        <v>100</v>
      </c>
    </row>
    <row r="98" customFormat="false" ht="15" hidden="false" customHeight="false" outlineLevel="0" collapsed="false">
      <c r="A98" s="6" t="s">
        <v>384</v>
      </c>
      <c r="B98" s="6" t="s">
        <v>385</v>
      </c>
      <c r="C98" s="7" t="s">
        <v>242</v>
      </c>
      <c r="D98" s="8" t="n">
        <f aca="false">SUMIFS(Rashodi_detalji!$L$10:$L$85,Rashodi_detalji!$B$10:$B$85,"A2203-34",Rashodi_detalji!$E$10:$E$85,"511903",Rashodi_detalji!$F$10:$F$85,"38129")</f>
        <v>1360</v>
      </c>
      <c r="E98" s="8" t="n">
        <f aca="false">F98-D98</f>
        <v>0</v>
      </c>
      <c r="F98" s="8" t="n">
        <f aca="false">SUMIFS(Rashodi_detalji!$N$10:$N$85,Rashodi_detalji!$B$10:$B$85,"A2203-34",Rashodi_detalji!$E$10:$E$85,"511903",Rashodi_detalji!$F$10:$F$85,"38129")</f>
        <v>1360</v>
      </c>
      <c r="G98" s="9" t="n">
        <f aca="false">IF(D98=0,"-",F98/D98*100)</f>
        <v>100</v>
      </c>
    </row>
    <row r="99" customFormat="false" ht="15" hidden="false" customHeight="false" outlineLevel="0" collapsed="false">
      <c r="A99" s="11" t="s">
        <v>386</v>
      </c>
      <c r="B99" s="11" t="s">
        <v>387</v>
      </c>
      <c r="C99" s="12"/>
      <c r="D99" s="13" t="n">
        <f aca="false">SUMIFS(Rashodi_detalji!$L$10:$L$85,Rashodi_detalji!$A$10:$A$85,"4306")</f>
        <v>103916.86</v>
      </c>
      <c r="E99" s="13" t="n">
        <f aca="false">F99-D99</f>
        <v>-5828.49000000001</v>
      </c>
      <c r="F99" s="13" t="n">
        <f aca="false">SUMIFS(Rashodi_detalji!$N$10:$N$85,Rashodi_detalji!$A$10:$A$85,"4306")</f>
        <v>98088.37</v>
      </c>
      <c r="G99" s="14" t="n">
        <f aca="false">IF(D99=0,"-",F99/D99*100)</f>
        <v>94.3911988872643</v>
      </c>
    </row>
    <row r="100" customFormat="false" ht="15" hidden="false" customHeight="false" outlineLevel="0" collapsed="false">
      <c r="A100" s="15" t="s">
        <v>388</v>
      </c>
      <c r="B100" s="15" t="s">
        <v>389</v>
      </c>
      <c r="C100" s="16"/>
      <c r="D100" s="17" t="n">
        <f aca="false">SUMIFS(Rashodi_detalji!$L$10:$L$85,Rashodi_detalji!$B$10:$B$85,"T4306-03")</f>
        <v>103916.86</v>
      </c>
      <c r="E100" s="17" t="n">
        <f aca="false">F100-D100</f>
        <v>-5828.49000000001</v>
      </c>
      <c r="F100" s="17" t="n">
        <f aca="false">SUMIFS(Rashodi_detalji!$N$10:$N$85,Rashodi_detalji!$B$10:$B$85,"T4306-03")</f>
        <v>98088.37</v>
      </c>
      <c r="G100" s="18" t="n">
        <f aca="false">IF(D100=0,"-",F100/D100*100)</f>
        <v>94.3911988872643</v>
      </c>
    </row>
    <row r="101" customFormat="false" ht="15" hidden="false" customHeight="false" outlineLevel="0" collapsed="false">
      <c r="A101" s="29" t="s">
        <v>327</v>
      </c>
      <c r="B101" s="29" t="s">
        <v>328</v>
      </c>
      <c r="C101" s="30" t="s">
        <v>214</v>
      </c>
      <c r="D101" s="31" t="n">
        <f aca="false">SUMIFS(Rashodi_detalji!$L$10:$L$85,Rashodi_detalji!$B$10:$B$85,"T4306-03",Rashodi_detalji!$E$10:$E$85,"110")</f>
        <v>40209.84</v>
      </c>
      <c r="E101" s="31" t="n">
        <f aca="false">F101-D101</f>
        <v>6790.16</v>
      </c>
      <c r="F101" s="31" t="n">
        <f aca="false">SUMIFS(Rashodi_detalji!$N$10:$N$85,Rashodi_detalji!$B$10:$B$85,"T4306-03",Rashodi_detalji!$E$10:$E$85,"110")</f>
        <v>47000</v>
      </c>
      <c r="G101" s="32" t="n">
        <f aca="false">IF(D101=0,"-",F101/D101*100)</f>
        <v>116.886811785374</v>
      </c>
    </row>
    <row r="102" customFormat="false" ht="15" hidden="false" customHeight="false" outlineLevel="0" collapsed="false">
      <c r="A102" s="6" t="s">
        <v>316</v>
      </c>
      <c r="B102" s="6" t="s">
        <v>105</v>
      </c>
      <c r="C102" s="7" t="s">
        <v>214</v>
      </c>
      <c r="D102" s="8" t="n">
        <f aca="false">SUMIFS(Rashodi_detalji!$L$10:$L$85,Rashodi_detalji!$B$10:$B$85,"T4306-03",Rashodi_detalji!$E$10:$E$85,"110",Rashodi_detalji!$F$10:$F$85,"31111")</f>
        <v>18426.43</v>
      </c>
      <c r="E102" s="8" t="n">
        <f aca="false">F102-D102</f>
        <v>1573.57</v>
      </c>
      <c r="F102" s="8" t="n">
        <f aca="false">SUMIFS(Rashodi_detalji!$N$10:$N$85,Rashodi_detalji!$B$10:$B$85,"T4306-03",Rashodi_detalji!$E$10:$E$85,"110",Rashodi_detalji!$F$10:$F$85,"31111")</f>
        <v>20000</v>
      </c>
      <c r="G102" s="9" t="n">
        <f aca="false">IF(D102=0,"-",F102/D102*100)</f>
        <v>108.539744269509</v>
      </c>
    </row>
    <row r="103" customFormat="false" ht="15" hidden="false" customHeight="false" outlineLevel="0" collapsed="false">
      <c r="A103" s="6" t="s">
        <v>349</v>
      </c>
      <c r="B103" s="6" t="s">
        <v>350</v>
      </c>
      <c r="C103" s="7" t="s">
        <v>214</v>
      </c>
      <c r="D103" s="8" t="n">
        <f aca="false">SUMIFS(Rashodi_detalji!$L$10:$L$85,Rashodi_detalji!$B$10:$B$85,"T4306-03",Rashodi_detalji!$E$10:$E$85,"110",Rashodi_detalji!$F$10:$F$85,"31219")</f>
        <v>10000</v>
      </c>
      <c r="E103" s="8" t="n">
        <f aca="false">F103-D103</f>
        <v>0</v>
      </c>
      <c r="F103" s="8" t="n">
        <f aca="false">SUMIFS(Rashodi_detalji!$N$10:$N$85,Rashodi_detalji!$B$10:$B$85,"T4306-03",Rashodi_detalji!$E$10:$E$85,"110",Rashodi_detalji!$F$10:$F$85,"31219")</f>
        <v>10000</v>
      </c>
      <c r="G103" s="9" t="n">
        <f aca="false">IF(D103=0,"-",F103/D103*100)</f>
        <v>100</v>
      </c>
    </row>
    <row r="104" customFormat="false" ht="15" hidden="false" customHeight="false" outlineLevel="0" collapsed="false">
      <c r="A104" s="6" t="s">
        <v>317</v>
      </c>
      <c r="B104" s="6" t="s">
        <v>318</v>
      </c>
      <c r="C104" s="7" t="s">
        <v>214</v>
      </c>
      <c r="D104" s="8" t="n">
        <f aca="false">SUMIFS(Rashodi_detalji!$L$10:$L$85,Rashodi_detalji!$B$10:$B$85,"T4306-03",Rashodi_detalji!$E$10:$E$85,"110",Rashodi_detalji!$F$10:$F$85,"31321")</f>
        <v>7467.91</v>
      </c>
      <c r="E104" s="8" t="n">
        <f aca="false">F104-D104</f>
        <v>1532.09</v>
      </c>
      <c r="F104" s="8" t="n">
        <f aca="false">SUMIFS(Rashodi_detalji!$N$10:$N$85,Rashodi_detalji!$B$10:$B$85,"T4306-03",Rashodi_detalji!$E$10:$E$85,"110",Rashodi_detalji!$F$10:$F$85,"31321")</f>
        <v>9000</v>
      </c>
      <c r="G104" s="9" t="n">
        <f aca="false">IF(D104=0,"-",F104/D104*100)</f>
        <v>120.515646278544</v>
      </c>
    </row>
    <row r="105" customFormat="false" ht="15" hidden="false" customHeight="false" outlineLevel="0" collapsed="false">
      <c r="A105" s="6" t="s">
        <v>319</v>
      </c>
      <c r="B105" s="6" t="s">
        <v>320</v>
      </c>
      <c r="C105" s="7" t="s">
        <v>214</v>
      </c>
      <c r="D105" s="8" t="n">
        <f aca="false">SUMIFS(Rashodi_detalji!$L$10:$L$85,Rashodi_detalji!$B$10:$B$85,"T4306-03",Rashodi_detalji!$E$10:$E$85,"110",Rashodi_detalji!$F$10:$F$85,"32121")</f>
        <v>4315.5</v>
      </c>
      <c r="E105" s="8" t="n">
        <f aca="false">F105-D105</f>
        <v>3684.5</v>
      </c>
      <c r="F105" s="8" t="n">
        <f aca="false">SUMIFS(Rashodi_detalji!$N$10:$N$85,Rashodi_detalji!$B$10:$B$85,"T4306-03",Rashodi_detalji!$E$10:$E$85,"110",Rashodi_detalji!$F$10:$F$85,"32121")</f>
        <v>8000</v>
      </c>
      <c r="G105" s="9" t="n">
        <f aca="false">IF(D105=0,"-",F105/D105*100)</f>
        <v>185.378287568069</v>
      </c>
    </row>
    <row r="106" customFormat="false" ht="15" hidden="false" customHeight="false" outlineLevel="0" collapsed="false">
      <c r="A106" s="29" t="s">
        <v>390</v>
      </c>
      <c r="B106" s="29" t="s">
        <v>391</v>
      </c>
      <c r="C106" s="30" t="s">
        <v>218</v>
      </c>
      <c r="D106" s="31" t="n">
        <f aca="false">SUMIFS(Rashodi_detalji!$L$10:$L$85,Rashodi_detalji!$B$10:$B$85,"T4306-03",Rashodi_detalji!$E$10:$E$85,"195062")</f>
        <v>18349.55</v>
      </c>
      <c r="E106" s="31" t="n">
        <f aca="false">F106-D106</f>
        <v>-18349.55</v>
      </c>
      <c r="F106" s="31" t="n">
        <f aca="false">SUMIFS(Rashodi_detalji!$N$10:$N$85,Rashodi_detalji!$B$10:$B$85,"T4306-03",Rashodi_detalji!$E$10:$E$85,"195062")</f>
        <v>0</v>
      </c>
      <c r="G106" s="32" t="n">
        <f aca="false">IF(D106=0,"-",F106/D106*100)</f>
        <v>0</v>
      </c>
    </row>
    <row r="107" customFormat="false" ht="15" hidden="false" customHeight="false" outlineLevel="0" collapsed="false">
      <c r="A107" s="6" t="s">
        <v>316</v>
      </c>
      <c r="B107" s="6" t="s">
        <v>105</v>
      </c>
      <c r="C107" s="7" t="s">
        <v>218</v>
      </c>
      <c r="D107" s="8" t="n">
        <f aca="false">SUMIFS(Rashodi_detalji!$L$10:$L$85,Rashodi_detalji!$B$10:$B$85,"T4306-03",Rashodi_detalji!$E$10:$E$85,"195062",Rashodi_detalji!$F$10:$F$85,"31111")</f>
        <v>18349.55</v>
      </c>
      <c r="E107" s="8" t="n">
        <f aca="false">F107-D107</f>
        <v>-18349.55</v>
      </c>
      <c r="F107" s="8" t="n">
        <f aca="false">SUMIFS(Rashodi_detalji!$N$10:$N$85,Rashodi_detalji!$B$10:$B$85,"T4306-03",Rashodi_detalji!$E$10:$E$85,"195062",Rashodi_detalji!$F$10:$F$85,"31111")</f>
        <v>0</v>
      </c>
      <c r="G107" s="9" t="n">
        <f aca="false">IF(D107=0,"-",F107/D107*100)</f>
        <v>0</v>
      </c>
    </row>
    <row r="108" customFormat="false" ht="15" hidden="false" customHeight="false" outlineLevel="0" collapsed="false">
      <c r="A108" s="29" t="s">
        <v>392</v>
      </c>
      <c r="B108" s="29" t="s">
        <v>393</v>
      </c>
      <c r="C108" s="30" t="s">
        <v>238</v>
      </c>
      <c r="D108" s="31" t="n">
        <f aca="false">SUMIFS(Rashodi_detalji!$L$10:$L$85,Rashodi_detalji!$B$10:$B$85,"T4306-03",Rashodi_detalji!$E$10:$E$85,"51038")</f>
        <v>9745.31</v>
      </c>
      <c r="E108" s="31" t="n">
        <f aca="false">F108-D108</f>
        <v>5730.9</v>
      </c>
      <c r="F108" s="31" t="n">
        <f aca="false">SUMIFS(Rashodi_detalji!$N$10:$N$85,Rashodi_detalji!$B$10:$B$85,"T4306-03",Rashodi_detalji!$E$10:$E$85,"51038")</f>
        <v>15476.21</v>
      </c>
      <c r="G108" s="32" t="n">
        <f aca="false">IF(D108=0,"-",F108/D108*100)</f>
        <v>158.80674909264</v>
      </c>
    </row>
    <row r="109" customFormat="false" ht="15" hidden="false" customHeight="false" outlineLevel="0" collapsed="false">
      <c r="A109" s="6" t="s">
        <v>316</v>
      </c>
      <c r="B109" s="6" t="s">
        <v>105</v>
      </c>
      <c r="C109" s="7" t="s">
        <v>238</v>
      </c>
      <c r="D109" s="8" t="n">
        <f aca="false">SUMIFS(Rashodi_detalji!$L$10:$L$85,Rashodi_detalji!$B$10:$B$85,"T4306-03",Rashodi_detalji!$E$10:$E$85,"51038",Rashodi_detalji!$F$10:$F$85,"31111")</f>
        <v>8481.88</v>
      </c>
      <c r="E109" s="8" t="n">
        <f aca="false">F109-D109</f>
        <v>0</v>
      </c>
      <c r="F109" s="8" t="n">
        <f aca="false">SUMIFS(Rashodi_detalji!$N$10:$N$85,Rashodi_detalji!$B$10:$B$85,"T4306-03",Rashodi_detalji!$E$10:$E$85,"51038",Rashodi_detalji!$F$10:$F$85,"31111")</f>
        <v>8481.88</v>
      </c>
      <c r="G109" s="9" t="n">
        <f aca="false">IF(D109=0,"-",F109/D109*100)</f>
        <v>100</v>
      </c>
    </row>
    <row r="110" customFormat="false" ht="15" hidden="false" customHeight="false" outlineLevel="0" collapsed="false">
      <c r="A110" s="6" t="s">
        <v>317</v>
      </c>
      <c r="B110" s="6" t="s">
        <v>318</v>
      </c>
      <c r="C110" s="7" t="s">
        <v>238</v>
      </c>
      <c r="D110" s="8" t="n">
        <f aca="false">SUMIFS(Rashodi_detalji!$L$10:$L$85,Rashodi_detalji!$B$10:$B$85,"T4306-03",Rashodi_detalji!$E$10:$E$85,"51038",Rashodi_detalji!$F$10:$F$85,"31321")</f>
        <v>1263.43</v>
      </c>
      <c r="E110" s="8" t="n">
        <f aca="false">F110-D110</f>
        <v>5730.9</v>
      </c>
      <c r="F110" s="8" t="n">
        <f aca="false">SUMIFS(Rashodi_detalji!$N$10:$N$85,Rashodi_detalji!$B$10:$B$85,"T4306-03",Rashodi_detalji!$E$10:$E$85,"51038",Rashodi_detalji!$F$10:$F$85,"31321")</f>
        <v>6994.33</v>
      </c>
      <c r="G110" s="9" t="n">
        <f aca="false">IF(D110=0,"-",F110/D110*100)</f>
        <v>553.598537315087</v>
      </c>
    </row>
    <row r="111" customFormat="false" ht="15" hidden="false" customHeight="false" outlineLevel="0" collapsed="false">
      <c r="A111" s="29" t="s">
        <v>394</v>
      </c>
      <c r="B111" s="29" t="s">
        <v>395</v>
      </c>
      <c r="C111" s="30" t="s">
        <v>249</v>
      </c>
      <c r="D111" s="31" t="n">
        <f aca="false">SUMIFS(Rashodi_detalji!$L$10:$L$85,Rashodi_detalji!$B$10:$B$85,"T4306-03",Rashodi_detalji!$E$10:$E$85,"540099")</f>
        <v>35612.16</v>
      </c>
      <c r="E111" s="31" t="n">
        <f aca="false">F111-D111</f>
        <v>0</v>
      </c>
      <c r="F111" s="31" t="n">
        <f aca="false">SUMIFS(Rashodi_detalji!$N$10:$N$85,Rashodi_detalji!$B$10:$B$85,"T4306-03",Rashodi_detalji!$E$10:$E$85,"540099")</f>
        <v>35612.16</v>
      </c>
      <c r="G111" s="32" t="n">
        <f aca="false">IF(D111=0,"-",F111/D111*100)</f>
        <v>100</v>
      </c>
    </row>
    <row r="112" customFormat="false" ht="15" hidden="false" customHeight="false" outlineLevel="0" collapsed="false">
      <c r="A112" s="6" t="s">
        <v>316</v>
      </c>
      <c r="B112" s="6" t="s">
        <v>105</v>
      </c>
      <c r="C112" s="7" t="s">
        <v>249</v>
      </c>
      <c r="D112" s="8" t="n">
        <f aca="false">SUMIFS(Rashodi_detalji!$L$10:$L$85,Rashodi_detalji!$B$10:$B$85,"T4306-03",Rashodi_detalji!$E$10:$E$85,"540099",Rashodi_detalji!$F$10:$F$85,"31111")</f>
        <v>17399.64</v>
      </c>
      <c r="E112" s="8" t="n">
        <f aca="false">F112-D112</f>
        <v>0</v>
      </c>
      <c r="F112" s="8" t="n">
        <f aca="false">SUMIFS(Rashodi_detalji!$N$10:$N$85,Rashodi_detalji!$B$10:$B$85,"T4306-03",Rashodi_detalji!$E$10:$E$85,"540099",Rashodi_detalji!$F$10:$F$85,"31111")</f>
        <v>17399.64</v>
      </c>
      <c r="G112" s="9" t="n">
        <f aca="false">IF(D112=0,"-",F112/D112*100)</f>
        <v>100</v>
      </c>
    </row>
    <row r="113" customFormat="false" ht="15" hidden="false" customHeight="false" outlineLevel="0" collapsed="false">
      <c r="A113" s="6" t="s">
        <v>349</v>
      </c>
      <c r="B113" s="6" t="s">
        <v>350</v>
      </c>
      <c r="C113" s="7" t="s">
        <v>249</v>
      </c>
      <c r="D113" s="8" t="n">
        <f aca="false">SUMIFS(Rashodi_detalji!$L$10:$L$85,Rashodi_detalji!$B$10:$B$85,"T4306-03",Rashodi_detalji!$E$10:$E$85,"540099",Rashodi_detalji!$F$10:$F$85,"31219")</f>
        <v>16605</v>
      </c>
      <c r="E113" s="8" t="n">
        <f aca="false">F113-D113</f>
        <v>0</v>
      </c>
      <c r="F113" s="8" t="n">
        <f aca="false">SUMIFS(Rashodi_detalji!$N$10:$N$85,Rashodi_detalji!$B$10:$B$85,"T4306-03",Rashodi_detalji!$E$10:$E$85,"540099",Rashodi_detalji!$F$10:$F$85,"31219")</f>
        <v>16605</v>
      </c>
      <c r="G113" s="9" t="n">
        <f aca="false">IF(D113=0,"-",F113/D113*100)</f>
        <v>100</v>
      </c>
    </row>
    <row r="114" customFormat="false" ht="15" hidden="false" customHeight="false" outlineLevel="0" collapsed="false">
      <c r="A114" s="6" t="s">
        <v>317</v>
      </c>
      <c r="B114" s="6" t="s">
        <v>318</v>
      </c>
      <c r="C114" s="7" t="s">
        <v>249</v>
      </c>
      <c r="D114" s="8" t="n">
        <f aca="false">SUMIFS(Rashodi_detalji!$L$10:$L$85,Rashodi_detalji!$B$10:$B$85,"T4306-03",Rashodi_detalji!$E$10:$E$85,"540099",Rashodi_detalji!$F$10:$F$85,"31321")</f>
        <v>1607.52</v>
      </c>
      <c r="E114" s="8" t="n">
        <f aca="false">F114-D114</f>
        <v>0</v>
      </c>
      <c r="F114" s="8" t="n">
        <f aca="false">SUMIFS(Rashodi_detalji!$N$10:$N$85,Rashodi_detalji!$B$10:$B$85,"T4306-03",Rashodi_detalji!$E$10:$E$85,"540099",Rashodi_detalji!$F$10:$F$85,"31321")</f>
        <v>1607.52</v>
      </c>
      <c r="G114" s="9" t="n">
        <f aca="false">IF(D114=0,"-",F114/D114*100)</f>
        <v>100</v>
      </c>
    </row>
  </sheetData>
  <mergeCells count="2">
    <mergeCell ref="A6:G6"/>
    <mergeCell ref="A7:G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O8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1" ySplit="9" topLeftCell="L10" activePane="bottomRight" state="frozen"/>
      <selection pane="topLeft" activeCell="A1" activeCellId="0" sqref="A1"/>
      <selection pane="topRight" activeCell="L1" activeCellId="0" sqref="L1"/>
      <selection pane="bottomLeft" activeCell="A10" activeCellId="0" sqref="A10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11"/>
    <col collapsed="false" customWidth="true" hidden="false" outlineLevel="0" max="4" min="3" style="0" width="8"/>
    <col collapsed="false" customWidth="true" hidden="false" outlineLevel="0" max="6" min="5" style="0" width="9"/>
    <col collapsed="false" customWidth="true" hidden="false" outlineLevel="0" max="8" min="7" style="0" width="6"/>
    <col collapsed="false" customWidth="true" hidden="false" outlineLevel="0" max="9" min="9" style="0" width="7"/>
    <col collapsed="false" customWidth="true" hidden="false" outlineLevel="0" max="10" min="10" style="0" width="8"/>
    <col collapsed="false" customWidth="true" hidden="false" outlineLevel="0" max="11" min="11" style="0" width="46"/>
    <col collapsed="false" customWidth="true" hidden="false" outlineLevel="0" max="15" min="12" style="0" width="15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396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customFormat="false" ht="15" hidden="false" customHeight="false" outlineLevel="0" collapsed="false">
      <c r="A7" s="4" t="s">
        <v>397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9" customFormat="false" ht="30" hidden="false" customHeight="true" outlineLevel="0" collapsed="false">
      <c r="A9" s="5" t="s">
        <v>398</v>
      </c>
      <c r="B9" s="5" t="s">
        <v>399</v>
      </c>
      <c r="C9" s="5" t="s">
        <v>256</v>
      </c>
      <c r="D9" s="5" t="s">
        <v>400</v>
      </c>
      <c r="E9" s="5" t="s">
        <v>210</v>
      </c>
      <c r="F9" s="5" t="s">
        <v>50</v>
      </c>
      <c r="G9" s="5" t="s">
        <v>401</v>
      </c>
      <c r="H9" s="5" t="s">
        <v>402</v>
      </c>
      <c r="I9" s="5" t="s">
        <v>403</v>
      </c>
      <c r="J9" s="5" t="s">
        <v>404</v>
      </c>
      <c r="K9" s="5" t="s">
        <v>7</v>
      </c>
      <c r="L9" s="5" t="s">
        <v>8</v>
      </c>
      <c r="M9" s="5" t="s">
        <v>9</v>
      </c>
      <c r="N9" s="5" t="s">
        <v>10</v>
      </c>
      <c r="O9" s="5" t="s">
        <v>11</v>
      </c>
    </row>
    <row r="10" customFormat="false" ht="15" hidden="false" customHeight="false" outlineLevel="0" collapsed="false">
      <c r="A10" s="6" t="s">
        <v>405</v>
      </c>
      <c r="B10" s="6" t="s">
        <v>268</v>
      </c>
      <c r="C10" s="6" t="s">
        <v>259</v>
      </c>
      <c r="D10" s="6" t="s">
        <v>203</v>
      </c>
      <c r="E10" s="6" t="s">
        <v>205</v>
      </c>
      <c r="F10" s="6" t="s">
        <v>272</v>
      </c>
      <c r="G10" s="6" t="str">
        <f aca="false">LEFT(F10,1)</f>
        <v>3</v>
      </c>
      <c r="H10" s="6" t="str">
        <f aca="false">LEFT(F10,2)</f>
        <v>32</v>
      </c>
      <c r="I10" s="6" t="str">
        <f aca="false">LEFT(F10,3)</f>
        <v>321</v>
      </c>
      <c r="J10" s="6" t="str">
        <f aca="false">LEFT(F10,4)</f>
        <v>3211</v>
      </c>
      <c r="K10" s="7" t="s">
        <v>273</v>
      </c>
      <c r="L10" s="33" t="n">
        <v>3000</v>
      </c>
      <c r="M10" s="8" t="n">
        <f aca="false">N10-L10</f>
        <v>500</v>
      </c>
      <c r="N10" s="33" t="n">
        <v>3500</v>
      </c>
      <c r="O10" s="9" t="n">
        <f aca="false">IF(L10=0,"-",N10/L10*100)</f>
        <v>116.666666666667</v>
      </c>
    </row>
    <row r="11" customFormat="false" ht="15" hidden="false" customHeight="false" outlineLevel="0" collapsed="false">
      <c r="A11" s="6" t="s">
        <v>405</v>
      </c>
      <c r="B11" s="6" t="s">
        <v>268</v>
      </c>
      <c r="C11" s="6" t="s">
        <v>259</v>
      </c>
      <c r="D11" s="6" t="s">
        <v>203</v>
      </c>
      <c r="E11" s="6" t="s">
        <v>205</v>
      </c>
      <c r="F11" s="6" t="s">
        <v>274</v>
      </c>
      <c r="G11" s="6" t="str">
        <f aca="false">LEFT(F11,1)</f>
        <v>3</v>
      </c>
      <c r="H11" s="6" t="str">
        <f aca="false">LEFT(F11,2)</f>
        <v>32</v>
      </c>
      <c r="I11" s="6" t="str">
        <f aca="false">LEFT(F11,3)</f>
        <v>321</v>
      </c>
      <c r="J11" s="6" t="str">
        <f aca="false">LEFT(F11,4)</f>
        <v>3213</v>
      </c>
      <c r="K11" s="7" t="s">
        <v>275</v>
      </c>
      <c r="L11" s="33" t="n">
        <v>800</v>
      </c>
      <c r="M11" s="8" t="n">
        <f aca="false">N11-L11</f>
        <v>0</v>
      </c>
      <c r="N11" s="33" t="n">
        <v>800</v>
      </c>
      <c r="O11" s="9" t="n">
        <f aca="false">IF(L11=0,"-",N11/L11*100)</f>
        <v>100</v>
      </c>
    </row>
    <row r="12" customFormat="false" ht="15" hidden="false" customHeight="false" outlineLevel="0" collapsed="false">
      <c r="A12" s="6" t="s">
        <v>405</v>
      </c>
      <c r="B12" s="6" t="s">
        <v>268</v>
      </c>
      <c r="C12" s="6" t="s">
        <v>259</v>
      </c>
      <c r="D12" s="6" t="s">
        <v>203</v>
      </c>
      <c r="E12" s="6" t="s">
        <v>205</v>
      </c>
      <c r="F12" s="6" t="s">
        <v>276</v>
      </c>
      <c r="G12" s="6" t="str">
        <f aca="false">LEFT(F12,1)</f>
        <v>3</v>
      </c>
      <c r="H12" s="6" t="str">
        <f aca="false">LEFT(F12,2)</f>
        <v>32</v>
      </c>
      <c r="I12" s="6" t="str">
        <f aca="false">LEFT(F12,3)</f>
        <v>321</v>
      </c>
      <c r="J12" s="6" t="str">
        <f aca="false">LEFT(F12,4)</f>
        <v>3214</v>
      </c>
      <c r="K12" s="7" t="s">
        <v>124</v>
      </c>
      <c r="L12" s="33" t="n">
        <v>0</v>
      </c>
      <c r="M12" s="8" t="n">
        <f aca="false">N12-L12</f>
        <v>1000</v>
      </c>
      <c r="N12" s="33" t="n">
        <v>1000</v>
      </c>
      <c r="O12" s="9" t="str">
        <f aca="false">IF(L12=0,"-",N12/L12*100)</f>
        <v>-</v>
      </c>
    </row>
    <row r="13" customFormat="false" ht="15" hidden="false" customHeight="false" outlineLevel="0" collapsed="false">
      <c r="A13" s="6" t="s">
        <v>405</v>
      </c>
      <c r="B13" s="6" t="s">
        <v>268</v>
      </c>
      <c r="C13" s="6" t="s">
        <v>259</v>
      </c>
      <c r="D13" s="6" t="s">
        <v>203</v>
      </c>
      <c r="E13" s="6" t="s">
        <v>205</v>
      </c>
      <c r="F13" s="6" t="s">
        <v>277</v>
      </c>
      <c r="G13" s="6" t="str">
        <f aca="false">LEFT(F13,1)</f>
        <v>3</v>
      </c>
      <c r="H13" s="6" t="str">
        <f aca="false">LEFT(F13,2)</f>
        <v>32</v>
      </c>
      <c r="I13" s="6" t="str">
        <f aca="false">LEFT(F13,3)</f>
        <v>322</v>
      </c>
      <c r="J13" s="6" t="str">
        <f aca="false">LEFT(F13,4)</f>
        <v>3221</v>
      </c>
      <c r="K13" s="7" t="s">
        <v>278</v>
      </c>
      <c r="L13" s="33" t="n">
        <v>7000</v>
      </c>
      <c r="M13" s="8" t="n">
        <f aca="false">N13-L13</f>
        <v>500</v>
      </c>
      <c r="N13" s="33" t="n">
        <v>7500</v>
      </c>
      <c r="O13" s="9" t="n">
        <f aca="false">IF(L13=0,"-",N13/L13*100)</f>
        <v>107.142857142857</v>
      </c>
    </row>
    <row r="14" customFormat="false" ht="15" hidden="false" customHeight="false" outlineLevel="0" collapsed="false">
      <c r="A14" s="6" t="s">
        <v>405</v>
      </c>
      <c r="B14" s="6" t="s">
        <v>268</v>
      </c>
      <c r="C14" s="6" t="s">
        <v>259</v>
      </c>
      <c r="D14" s="6" t="s">
        <v>203</v>
      </c>
      <c r="E14" s="6" t="s">
        <v>205</v>
      </c>
      <c r="F14" s="6" t="s">
        <v>279</v>
      </c>
      <c r="G14" s="6" t="str">
        <f aca="false">LEFT(F14,1)</f>
        <v>3</v>
      </c>
      <c r="H14" s="6" t="str">
        <f aca="false">LEFT(F14,2)</f>
        <v>32</v>
      </c>
      <c r="I14" s="6" t="str">
        <f aca="false">LEFT(F14,3)</f>
        <v>322</v>
      </c>
      <c r="J14" s="6" t="str">
        <f aca="false">LEFT(F14,4)</f>
        <v>3222</v>
      </c>
      <c r="K14" s="7" t="s">
        <v>280</v>
      </c>
      <c r="L14" s="33" t="n">
        <v>2000</v>
      </c>
      <c r="M14" s="8" t="n">
        <f aca="false">N14-L14</f>
        <v>-500</v>
      </c>
      <c r="N14" s="33" t="n">
        <v>1500</v>
      </c>
      <c r="O14" s="9" t="n">
        <f aca="false">IF(L14=0,"-",N14/L14*100)</f>
        <v>75</v>
      </c>
    </row>
    <row r="15" customFormat="false" ht="15" hidden="false" customHeight="false" outlineLevel="0" collapsed="false">
      <c r="A15" s="6" t="s">
        <v>405</v>
      </c>
      <c r="B15" s="6" t="s">
        <v>268</v>
      </c>
      <c r="C15" s="6" t="s">
        <v>259</v>
      </c>
      <c r="D15" s="6" t="s">
        <v>203</v>
      </c>
      <c r="E15" s="6" t="s">
        <v>205</v>
      </c>
      <c r="F15" s="6" t="s">
        <v>281</v>
      </c>
      <c r="G15" s="6" t="str">
        <f aca="false">LEFT(F15,1)</f>
        <v>3</v>
      </c>
      <c r="H15" s="6" t="str">
        <f aca="false">LEFT(F15,2)</f>
        <v>32</v>
      </c>
      <c r="I15" s="6" t="str">
        <f aca="false">LEFT(F15,3)</f>
        <v>322</v>
      </c>
      <c r="J15" s="6" t="str">
        <f aca="false">LEFT(F15,4)</f>
        <v>3223</v>
      </c>
      <c r="K15" s="7" t="s">
        <v>282</v>
      </c>
      <c r="L15" s="33" t="n">
        <v>25000</v>
      </c>
      <c r="M15" s="8" t="n">
        <f aca="false">N15-L15</f>
        <v>-3010.5</v>
      </c>
      <c r="N15" s="33" t="n">
        <v>21989.5</v>
      </c>
      <c r="O15" s="9" t="n">
        <f aca="false">IF(L15=0,"-",N15/L15*100)</f>
        <v>87.958</v>
      </c>
    </row>
    <row r="16" customFormat="false" ht="15" hidden="false" customHeight="false" outlineLevel="0" collapsed="false">
      <c r="A16" s="6" t="s">
        <v>405</v>
      </c>
      <c r="B16" s="6" t="s">
        <v>268</v>
      </c>
      <c r="C16" s="6" t="s">
        <v>259</v>
      </c>
      <c r="D16" s="6" t="s">
        <v>203</v>
      </c>
      <c r="E16" s="6" t="s">
        <v>205</v>
      </c>
      <c r="F16" s="6" t="s">
        <v>283</v>
      </c>
      <c r="G16" s="6" t="str">
        <f aca="false">LEFT(F16,1)</f>
        <v>3</v>
      </c>
      <c r="H16" s="6" t="str">
        <f aca="false">LEFT(F16,2)</f>
        <v>32</v>
      </c>
      <c r="I16" s="6" t="str">
        <f aca="false">LEFT(F16,3)</f>
        <v>322</v>
      </c>
      <c r="J16" s="6" t="str">
        <f aca="false">LEFT(F16,4)</f>
        <v>3223</v>
      </c>
      <c r="K16" s="7" t="s">
        <v>284</v>
      </c>
      <c r="L16" s="33" t="n">
        <v>50000</v>
      </c>
      <c r="M16" s="8" t="n">
        <f aca="false">N16-L16</f>
        <v>-13824.55</v>
      </c>
      <c r="N16" s="33" t="n">
        <v>36175.45</v>
      </c>
      <c r="O16" s="9" t="n">
        <f aca="false">IF(L16=0,"-",N16/L16*100)</f>
        <v>72.3509</v>
      </c>
    </row>
    <row r="17" customFormat="false" ht="23.85" hidden="false" customHeight="false" outlineLevel="0" collapsed="false">
      <c r="A17" s="6" t="s">
        <v>405</v>
      </c>
      <c r="B17" s="6" t="s">
        <v>268</v>
      </c>
      <c r="C17" s="6" t="s">
        <v>259</v>
      </c>
      <c r="D17" s="6" t="s">
        <v>203</v>
      </c>
      <c r="E17" s="6" t="s">
        <v>205</v>
      </c>
      <c r="F17" s="6" t="s">
        <v>285</v>
      </c>
      <c r="G17" s="6" t="str">
        <f aca="false">LEFT(F17,1)</f>
        <v>3</v>
      </c>
      <c r="H17" s="6" t="str">
        <f aca="false">LEFT(F17,2)</f>
        <v>32</v>
      </c>
      <c r="I17" s="6" t="str">
        <f aca="false">LEFT(F17,3)</f>
        <v>322</v>
      </c>
      <c r="J17" s="6" t="str">
        <f aca="false">LEFT(F17,4)</f>
        <v>3224</v>
      </c>
      <c r="K17" s="7" t="s">
        <v>286</v>
      </c>
      <c r="L17" s="33" t="n">
        <v>3404</v>
      </c>
      <c r="M17" s="8" t="n">
        <f aca="false">N17-L17</f>
        <v>-404</v>
      </c>
      <c r="N17" s="33" t="n">
        <v>3000</v>
      </c>
      <c r="O17" s="9" t="n">
        <f aca="false">IF(L17=0,"-",N17/L17*100)</f>
        <v>88.1316098707403</v>
      </c>
    </row>
    <row r="18" customFormat="false" ht="15" hidden="false" customHeight="false" outlineLevel="0" collapsed="false">
      <c r="A18" s="6" t="s">
        <v>405</v>
      </c>
      <c r="B18" s="6" t="s">
        <v>268</v>
      </c>
      <c r="C18" s="6" t="s">
        <v>259</v>
      </c>
      <c r="D18" s="6" t="s">
        <v>203</v>
      </c>
      <c r="E18" s="6" t="s">
        <v>205</v>
      </c>
      <c r="F18" s="6" t="s">
        <v>287</v>
      </c>
      <c r="G18" s="6" t="str">
        <f aca="false">LEFT(F18,1)</f>
        <v>3</v>
      </c>
      <c r="H18" s="6" t="str">
        <f aca="false">LEFT(F18,2)</f>
        <v>32</v>
      </c>
      <c r="I18" s="6" t="str">
        <f aca="false">LEFT(F18,3)</f>
        <v>322</v>
      </c>
      <c r="J18" s="6" t="str">
        <f aca="false">LEFT(F18,4)</f>
        <v>3225</v>
      </c>
      <c r="K18" s="7" t="s">
        <v>288</v>
      </c>
      <c r="L18" s="33" t="n">
        <v>0</v>
      </c>
      <c r="M18" s="8" t="n">
        <f aca="false">N18-L18</f>
        <v>500</v>
      </c>
      <c r="N18" s="33" t="n">
        <v>500</v>
      </c>
      <c r="O18" s="9" t="str">
        <f aca="false">IF(L18=0,"-",N18/L18*100)</f>
        <v>-</v>
      </c>
    </row>
    <row r="19" customFormat="false" ht="15" hidden="false" customHeight="false" outlineLevel="0" collapsed="false">
      <c r="A19" s="6" t="s">
        <v>405</v>
      </c>
      <c r="B19" s="6" t="s">
        <v>268</v>
      </c>
      <c r="C19" s="6" t="s">
        <v>259</v>
      </c>
      <c r="D19" s="6" t="s">
        <v>203</v>
      </c>
      <c r="E19" s="6" t="s">
        <v>205</v>
      </c>
      <c r="F19" s="6" t="s">
        <v>289</v>
      </c>
      <c r="G19" s="6" t="str">
        <f aca="false">LEFT(F19,1)</f>
        <v>3</v>
      </c>
      <c r="H19" s="6" t="str">
        <f aca="false">LEFT(F19,2)</f>
        <v>32</v>
      </c>
      <c r="I19" s="6" t="str">
        <f aca="false">LEFT(F19,3)</f>
        <v>322</v>
      </c>
      <c r="J19" s="6" t="str">
        <f aca="false">LEFT(F19,4)</f>
        <v>3227</v>
      </c>
      <c r="K19" s="7" t="s">
        <v>138</v>
      </c>
      <c r="L19" s="33" t="n">
        <v>1500</v>
      </c>
      <c r="M19" s="8" t="n">
        <f aca="false">N19-L19</f>
        <v>0</v>
      </c>
      <c r="N19" s="33" t="n">
        <v>1500</v>
      </c>
      <c r="O19" s="9" t="n">
        <f aca="false">IF(L19=0,"-",N19/L19*100)</f>
        <v>100</v>
      </c>
    </row>
    <row r="20" customFormat="false" ht="15" hidden="false" customHeight="false" outlineLevel="0" collapsed="false">
      <c r="A20" s="6" t="s">
        <v>405</v>
      </c>
      <c r="B20" s="6" t="s">
        <v>268</v>
      </c>
      <c r="C20" s="6" t="s">
        <v>259</v>
      </c>
      <c r="D20" s="6" t="s">
        <v>203</v>
      </c>
      <c r="E20" s="6" t="s">
        <v>205</v>
      </c>
      <c r="F20" s="6" t="s">
        <v>290</v>
      </c>
      <c r="G20" s="6" t="str">
        <f aca="false">LEFT(F20,1)</f>
        <v>3</v>
      </c>
      <c r="H20" s="6" t="str">
        <f aca="false">LEFT(F20,2)</f>
        <v>32</v>
      </c>
      <c r="I20" s="6" t="str">
        <f aca="false">LEFT(F20,3)</f>
        <v>323</v>
      </c>
      <c r="J20" s="6" t="str">
        <f aca="false">LEFT(F20,4)</f>
        <v>3231</v>
      </c>
      <c r="K20" s="7" t="s">
        <v>291</v>
      </c>
      <c r="L20" s="33" t="n">
        <v>2500</v>
      </c>
      <c r="M20" s="8" t="n">
        <f aca="false">N20-L20</f>
        <v>-300</v>
      </c>
      <c r="N20" s="33" t="n">
        <v>2200</v>
      </c>
      <c r="O20" s="9" t="n">
        <f aca="false">IF(L20=0,"-",N20/L20*100)</f>
        <v>88</v>
      </c>
    </row>
    <row r="21" customFormat="false" ht="15" hidden="false" customHeight="false" outlineLevel="0" collapsed="false">
      <c r="A21" s="6" t="s">
        <v>405</v>
      </c>
      <c r="B21" s="6" t="s">
        <v>268</v>
      </c>
      <c r="C21" s="6" t="s">
        <v>259</v>
      </c>
      <c r="D21" s="6" t="s">
        <v>203</v>
      </c>
      <c r="E21" s="6" t="s">
        <v>205</v>
      </c>
      <c r="F21" s="6" t="s">
        <v>292</v>
      </c>
      <c r="G21" s="6" t="str">
        <f aca="false">LEFT(F21,1)</f>
        <v>3</v>
      </c>
      <c r="H21" s="6" t="str">
        <f aca="false">LEFT(F21,2)</f>
        <v>32</v>
      </c>
      <c r="I21" s="6" t="str">
        <f aca="false">LEFT(F21,3)</f>
        <v>323</v>
      </c>
      <c r="J21" s="6" t="str">
        <f aca="false">LEFT(F21,4)</f>
        <v>3232</v>
      </c>
      <c r="K21" s="7" t="s">
        <v>293</v>
      </c>
      <c r="L21" s="33" t="n">
        <v>2500</v>
      </c>
      <c r="M21" s="8" t="n">
        <f aca="false">N21-L21</f>
        <v>4496.05</v>
      </c>
      <c r="N21" s="33" t="n">
        <v>6996.05</v>
      </c>
      <c r="O21" s="9" t="n">
        <f aca="false">IF(L21=0,"-",N21/L21*100)</f>
        <v>279.842</v>
      </c>
    </row>
    <row r="22" customFormat="false" ht="15" hidden="false" customHeight="false" outlineLevel="0" collapsed="false">
      <c r="A22" s="6" t="s">
        <v>405</v>
      </c>
      <c r="B22" s="6" t="s">
        <v>268</v>
      </c>
      <c r="C22" s="6" t="s">
        <v>259</v>
      </c>
      <c r="D22" s="6" t="s">
        <v>203</v>
      </c>
      <c r="E22" s="6" t="s">
        <v>205</v>
      </c>
      <c r="F22" s="6" t="s">
        <v>294</v>
      </c>
      <c r="G22" s="6" t="str">
        <f aca="false">LEFT(F22,1)</f>
        <v>3</v>
      </c>
      <c r="H22" s="6" t="str">
        <f aca="false">LEFT(F22,2)</f>
        <v>32</v>
      </c>
      <c r="I22" s="6" t="str">
        <f aca="false">LEFT(F22,3)</f>
        <v>323</v>
      </c>
      <c r="J22" s="6" t="str">
        <f aca="false">LEFT(F22,4)</f>
        <v>3234</v>
      </c>
      <c r="K22" s="7" t="s">
        <v>295</v>
      </c>
      <c r="L22" s="33" t="n">
        <v>17259.98</v>
      </c>
      <c r="M22" s="8" t="n">
        <f aca="false">N22-L22</f>
        <v>22740.02</v>
      </c>
      <c r="N22" s="33" t="n">
        <v>40000</v>
      </c>
      <c r="O22" s="9" t="n">
        <f aca="false">IF(L22=0,"-",N22/L22*100)</f>
        <v>231.749978852814</v>
      </c>
    </row>
    <row r="23" customFormat="false" ht="15" hidden="false" customHeight="false" outlineLevel="0" collapsed="false">
      <c r="A23" s="6" t="s">
        <v>405</v>
      </c>
      <c r="B23" s="6" t="s">
        <v>268</v>
      </c>
      <c r="C23" s="6" t="s">
        <v>259</v>
      </c>
      <c r="D23" s="6" t="s">
        <v>203</v>
      </c>
      <c r="E23" s="6" t="s">
        <v>205</v>
      </c>
      <c r="F23" s="6" t="s">
        <v>296</v>
      </c>
      <c r="G23" s="6" t="str">
        <f aca="false">LEFT(F23,1)</f>
        <v>3</v>
      </c>
      <c r="H23" s="6" t="str">
        <f aca="false">LEFT(F23,2)</f>
        <v>32</v>
      </c>
      <c r="I23" s="6" t="str">
        <f aca="false">LEFT(F23,3)</f>
        <v>323</v>
      </c>
      <c r="J23" s="6" t="str">
        <f aca="false">LEFT(F23,4)</f>
        <v>3235</v>
      </c>
      <c r="K23" s="7" t="s">
        <v>297</v>
      </c>
      <c r="L23" s="33" t="n">
        <v>316000</v>
      </c>
      <c r="M23" s="8" t="n">
        <f aca="false">N23-L23</f>
        <v>-58300</v>
      </c>
      <c r="N23" s="33" t="n">
        <v>257700</v>
      </c>
      <c r="O23" s="9" t="n">
        <f aca="false">IF(L23=0,"-",N23/L23*100)</f>
        <v>81.5506329113924</v>
      </c>
    </row>
    <row r="24" customFormat="false" ht="15" hidden="false" customHeight="false" outlineLevel="0" collapsed="false">
      <c r="A24" s="6" t="s">
        <v>405</v>
      </c>
      <c r="B24" s="6" t="s">
        <v>268</v>
      </c>
      <c r="C24" s="6" t="s">
        <v>259</v>
      </c>
      <c r="D24" s="6" t="s">
        <v>203</v>
      </c>
      <c r="E24" s="6" t="s">
        <v>205</v>
      </c>
      <c r="F24" s="6" t="s">
        <v>298</v>
      </c>
      <c r="G24" s="6" t="str">
        <f aca="false">LEFT(F24,1)</f>
        <v>3</v>
      </c>
      <c r="H24" s="6" t="str">
        <f aca="false">LEFT(F24,2)</f>
        <v>32</v>
      </c>
      <c r="I24" s="6" t="str">
        <f aca="false">LEFT(F24,3)</f>
        <v>323</v>
      </c>
      <c r="J24" s="6" t="str">
        <f aca="false">LEFT(F24,4)</f>
        <v>3235</v>
      </c>
      <c r="K24" s="7" t="s">
        <v>299</v>
      </c>
      <c r="L24" s="33" t="n">
        <v>2700</v>
      </c>
      <c r="M24" s="8" t="n">
        <f aca="false">N24-L24</f>
        <v>0</v>
      </c>
      <c r="N24" s="33" t="n">
        <v>2700</v>
      </c>
      <c r="O24" s="9" t="n">
        <f aca="false">IF(L24=0,"-",N24/L24*100)</f>
        <v>100</v>
      </c>
    </row>
    <row r="25" customFormat="false" ht="15" hidden="false" customHeight="false" outlineLevel="0" collapsed="false">
      <c r="A25" s="6" t="s">
        <v>405</v>
      </c>
      <c r="B25" s="6" t="s">
        <v>268</v>
      </c>
      <c r="C25" s="6" t="s">
        <v>259</v>
      </c>
      <c r="D25" s="6" t="s">
        <v>203</v>
      </c>
      <c r="E25" s="6" t="s">
        <v>205</v>
      </c>
      <c r="F25" s="6" t="s">
        <v>300</v>
      </c>
      <c r="G25" s="6" t="str">
        <f aca="false">LEFT(F25,1)</f>
        <v>3</v>
      </c>
      <c r="H25" s="6" t="str">
        <f aca="false">LEFT(F25,2)</f>
        <v>32</v>
      </c>
      <c r="I25" s="6" t="str">
        <f aca="false">LEFT(F25,3)</f>
        <v>323</v>
      </c>
      <c r="J25" s="6" t="str">
        <f aca="false">LEFT(F25,4)</f>
        <v>3236</v>
      </c>
      <c r="K25" s="7" t="s">
        <v>301</v>
      </c>
      <c r="L25" s="33" t="n">
        <v>6500</v>
      </c>
      <c r="M25" s="8" t="n">
        <f aca="false">N25-L25</f>
        <v>800</v>
      </c>
      <c r="N25" s="33" t="n">
        <v>7300</v>
      </c>
      <c r="O25" s="9" t="n">
        <f aca="false">IF(L25=0,"-",N25/L25*100)</f>
        <v>112.307692307692</v>
      </c>
    </row>
    <row r="26" customFormat="false" ht="15" hidden="false" customHeight="false" outlineLevel="0" collapsed="false">
      <c r="A26" s="6" t="s">
        <v>405</v>
      </c>
      <c r="B26" s="6" t="s">
        <v>268</v>
      </c>
      <c r="C26" s="6" t="s">
        <v>259</v>
      </c>
      <c r="D26" s="6" t="s">
        <v>203</v>
      </c>
      <c r="E26" s="6" t="s">
        <v>205</v>
      </c>
      <c r="F26" s="6" t="s">
        <v>302</v>
      </c>
      <c r="G26" s="6" t="str">
        <f aca="false">LEFT(F26,1)</f>
        <v>3</v>
      </c>
      <c r="H26" s="6" t="str">
        <f aca="false">LEFT(F26,2)</f>
        <v>32</v>
      </c>
      <c r="I26" s="6" t="str">
        <f aca="false">LEFT(F26,3)</f>
        <v>323</v>
      </c>
      <c r="J26" s="6" t="str">
        <f aca="false">LEFT(F26,4)</f>
        <v>3237</v>
      </c>
      <c r="K26" s="7" t="s">
        <v>303</v>
      </c>
      <c r="L26" s="33" t="n">
        <v>2300</v>
      </c>
      <c r="M26" s="8" t="n">
        <f aca="false">N26-L26</f>
        <v>200</v>
      </c>
      <c r="N26" s="33" t="n">
        <v>2500</v>
      </c>
      <c r="O26" s="9" t="n">
        <f aca="false">IF(L26=0,"-",N26/L26*100)</f>
        <v>108.695652173913</v>
      </c>
    </row>
    <row r="27" customFormat="false" ht="15" hidden="false" customHeight="false" outlineLevel="0" collapsed="false">
      <c r="A27" s="6" t="s">
        <v>405</v>
      </c>
      <c r="B27" s="6" t="s">
        <v>268</v>
      </c>
      <c r="C27" s="6" t="s">
        <v>259</v>
      </c>
      <c r="D27" s="6" t="s">
        <v>203</v>
      </c>
      <c r="E27" s="6" t="s">
        <v>205</v>
      </c>
      <c r="F27" s="6" t="s">
        <v>304</v>
      </c>
      <c r="G27" s="6" t="str">
        <f aca="false">LEFT(F27,1)</f>
        <v>3</v>
      </c>
      <c r="H27" s="6" t="str">
        <f aca="false">LEFT(F27,2)</f>
        <v>32</v>
      </c>
      <c r="I27" s="6" t="str">
        <f aca="false">LEFT(F27,3)</f>
        <v>323</v>
      </c>
      <c r="J27" s="6" t="str">
        <f aca="false">LEFT(F27,4)</f>
        <v>3238</v>
      </c>
      <c r="K27" s="7" t="s">
        <v>305</v>
      </c>
      <c r="L27" s="33" t="n">
        <v>4700</v>
      </c>
      <c r="M27" s="8" t="n">
        <f aca="false">N27-L27</f>
        <v>300</v>
      </c>
      <c r="N27" s="33" t="n">
        <v>5000</v>
      </c>
      <c r="O27" s="9" t="n">
        <f aca="false">IF(L27=0,"-",N27/L27*100)</f>
        <v>106.382978723404</v>
      </c>
    </row>
    <row r="28" customFormat="false" ht="15" hidden="false" customHeight="false" outlineLevel="0" collapsed="false">
      <c r="A28" s="6" t="s">
        <v>405</v>
      </c>
      <c r="B28" s="6" t="s">
        <v>268</v>
      </c>
      <c r="C28" s="6" t="s">
        <v>259</v>
      </c>
      <c r="D28" s="6" t="s">
        <v>203</v>
      </c>
      <c r="E28" s="6" t="s">
        <v>205</v>
      </c>
      <c r="F28" s="6" t="s">
        <v>306</v>
      </c>
      <c r="G28" s="6" t="str">
        <f aca="false">LEFT(F28,1)</f>
        <v>3</v>
      </c>
      <c r="H28" s="6" t="str">
        <f aca="false">LEFT(F28,2)</f>
        <v>32</v>
      </c>
      <c r="I28" s="6" t="str">
        <f aca="false">LEFT(F28,3)</f>
        <v>329</v>
      </c>
      <c r="J28" s="6" t="str">
        <f aca="false">LEFT(F28,4)</f>
        <v>3292</v>
      </c>
      <c r="K28" s="7" t="s">
        <v>307</v>
      </c>
      <c r="L28" s="33" t="n">
        <v>2300</v>
      </c>
      <c r="M28" s="8" t="n">
        <f aca="false">N28-L28</f>
        <v>-300</v>
      </c>
      <c r="N28" s="33" t="n">
        <v>2000</v>
      </c>
      <c r="O28" s="9" t="n">
        <f aca="false">IF(L28=0,"-",N28/L28*100)</f>
        <v>86.9565217391304</v>
      </c>
    </row>
    <row r="29" customFormat="false" ht="15" hidden="false" customHeight="false" outlineLevel="0" collapsed="false">
      <c r="A29" s="6" t="s">
        <v>405</v>
      </c>
      <c r="B29" s="6" t="s">
        <v>268</v>
      </c>
      <c r="C29" s="6" t="s">
        <v>259</v>
      </c>
      <c r="D29" s="6" t="s">
        <v>203</v>
      </c>
      <c r="E29" s="6" t="s">
        <v>205</v>
      </c>
      <c r="F29" s="6" t="s">
        <v>308</v>
      </c>
      <c r="G29" s="6" t="str">
        <f aca="false">LEFT(F29,1)</f>
        <v>3</v>
      </c>
      <c r="H29" s="6" t="str">
        <f aca="false">LEFT(F29,2)</f>
        <v>32</v>
      </c>
      <c r="I29" s="6" t="str">
        <f aca="false">LEFT(F29,3)</f>
        <v>329</v>
      </c>
      <c r="J29" s="6" t="str">
        <f aca="false">LEFT(F29,4)</f>
        <v>3294</v>
      </c>
      <c r="K29" s="7" t="s">
        <v>309</v>
      </c>
      <c r="L29" s="33" t="n">
        <v>250</v>
      </c>
      <c r="M29" s="8" t="n">
        <f aca="false">N29-L29</f>
        <v>250</v>
      </c>
      <c r="N29" s="33" t="n">
        <v>500</v>
      </c>
      <c r="O29" s="9" t="n">
        <f aca="false">IF(L29=0,"-",N29/L29*100)</f>
        <v>200</v>
      </c>
    </row>
    <row r="30" customFormat="false" ht="15" hidden="false" customHeight="false" outlineLevel="0" collapsed="false">
      <c r="A30" s="6" t="s">
        <v>405</v>
      </c>
      <c r="B30" s="6" t="s">
        <v>268</v>
      </c>
      <c r="C30" s="6" t="s">
        <v>259</v>
      </c>
      <c r="D30" s="6" t="s">
        <v>203</v>
      </c>
      <c r="E30" s="6" t="s">
        <v>205</v>
      </c>
      <c r="F30" s="6" t="s">
        <v>310</v>
      </c>
      <c r="G30" s="6" t="str">
        <f aca="false">LEFT(F30,1)</f>
        <v>3</v>
      </c>
      <c r="H30" s="6" t="str">
        <f aca="false">LEFT(F30,2)</f>
        <v>34</v>
      </c>
      <c r="I30" s="6" t="str">
        <f aca="false">LEFT(F30,3)</f>
        <v>343</v>
      </c>
      <c r="J30" s="6" t="str">
        <f aca="false">LEFT(F30,4)</f>
        <v>3431</v>
      </c>
      <c r="K30" s="7" t="s">
        <v>311</v>
      </c>
      <c r="L30" s="33" t="n">
        <v>600</v>
      </c>
      <c r="M30" s="8" t="n">
        <f aca="false">N30-L30</f>
        <v>200</v>
      </c>
      <c r="N30" s="33" t="n">
        <v>800</v>
      </c>
      <c r="O30" s="9" t="n">
        <f aca="false">IF(L30=0,"-",N30/L30*100)</f>
        <v>133.333333333333</v>
      </c>
    </row>
    <row r="31" customFormat="false" ht="15" hidden="false" customHeight="false" outlineLevel="0" collapsed="false">
      <c r="A31" s="6" t="s">
        <v>405</v>
      </c>
      <c r="B31" s="6" t="s">
        <v>312</v>
      </c>
      <c r="C31" s="6" t="s">
        <v>259</v>
      </c>
      <c r="D31" s="6" t="s">
        <v>230</v>
      </c>
      <c r="E31" s="6" t="s">
        <v>236</v>
      </c>
      <c r="F31" s="6" t="s">
        <v>316</v>
      </c>
      <c r="G31" s="6" t="str">
        <f aca="false">LEFT(F31,1)</f>
        <v>3</v>
      </c>
      <c r="H31" s="6" t="str">
        <f aca="false">LEFT(F31,2)</f>
        <v>31</v>
      </c>
      <c r="I31" s="6" t="str">
        <f aca="false">LEFT(F31,3)</f>
        <v>311</v>
      </c>
      <c r="J31" s="6" t="str">
        <f aca="false">LEFT(F31,4)</f>
        <v>3111</v>
      </c>
      <c r="K31" s="7" t="s">
        <v>105</v>
      </c>
      <c r="L31" s="33" t="n">
        <v>1632490.54</v>
      </c>
      <c r="M31" s="8" t="n">
        <f aca="false">N31-L31</f>
        <v>298509.46</v>
      </c>
      <c r="N31" s="33" t="n">
        <v>1931000</v>
      </c>
      <c r="O31" s="9" t="n">
        <f aca="false">IF(L31=0,"-",N31/L31*100)</f>
        <v>118.285524643837</v>
      </c>
    </row>
    <row r="32" customFormat="false" ht="15" hidden="false" customHeight="false" outlineLevel="0" collapsed="false">
      <c r="A32" s="6" t="s">
        <v>405</v>
      </c>
      <c r="B32" s="6" t="s">
        <v>312</v>
      </c>
      <c r="C32" s="6" t="s">
        <v>259</v>
      </c>
      <c r="D32" s="6" t="s">
        <v>230</v>
      </c>
      <c r="E32" s="6" t="s">
        <v>236</v>
      </c>
      <c r="F32" s="6" t="s">
        <v>108</v>
      </c>
      <c r="G32" s="6" t="str">
        <f aca="false">LEFT(F32,1)</f>
        <v>3</v>
      </c>
      <c r="H32" s="6" t="str">
        <f aca="false">LEFT(F32,2)</f>
        <v>31</v>
      </c>
      <c r="I32" s="6" t="str">
        <f aca="false">LEFT(F32,3)</f>
        <v>312</v>
      </c>
      <c r="J32" s="6" t="str">
        <f aca="false">LEFT(F32,4)</f>
        <v>3121</v>
      </c>
      <c r="K32" s="7" t="s">
        <v>107</v>
      </c>
      <c r="L32" s="33" t="n">
        <v>65338.63</v>
      </c>
      <c r="M32" s="8" t="n">
        <f aca="false">N32-L32</f>
        <v>19661.37</v>
      </c>
      <c r="N32" s="33" t="n">
        <v>85000</v>
      </c>
      <c r="O32" s="9" t="n">
        <f aca="false">IF(L32=0,"-",N32/L32*100)</f>
        <v>130.091494113054</v>
      </c>
    </row>
    <row r="33" customFormat="false" ht="15" hidden="false" customHeight="false" outlineLevel="0" collapsed="false">
      <c r="A33" s="6" t="s">
        <v>405</v>
      </c>
      <c r="B33" s="6" t="s">
        <v>312</v>
      </c>
      <c r="C33" s="6" t="s">
        <v>259</v>
      </c>
      <c r="D33" s="6" t="s">
        <v>230</v>
      </c>
      <c r="E33" s="6" t="s">
        <v>236</v>
      </c>
      <c r="F33" s="6" t="s">
        <v>317</v>
      </c>
      <c r="G33" s="6" t="str">
        <f aca="false">LEFT(F33,1)</f>
        <v>3</v>
      </c>
      <c r="H33" s="6" t="str">
        <f aca="false">LEFT(F33,2)</f>
        <v>31</v>
      </c>
      <c r="I33" s="6" t="str">
        <f aca="false">LEFT(F33,3)</f>
        <v>313</v>
      </c>
      <c r="J33" s="6" t="str">
        <f aca="false">LEFT(F33,4)</f>
        <v>3132</v>
      </c>
      <c r="K33" s="7" t="s">
        <v>318</v>
      </c>
      <c r="L33" s="33" t="n">
        <v>266500</v>
      </c>
      <c r="M33" s="8" t="n">
        <f aca="false">N33-L33</f>
        <v>51500</v>
      </c>
      <c r="N33" s="33" t="n">
        <v>318000</v>
      </c>
      <c r="O33" s="9" t="n">
        <f aca="false">IF(L33=0,"-",N33/L33*100)</f>
        <v>119.324577861163</v>
      </c>
    </row>
    <row r="34" customFormat="false" ht="15" hidden="false" customHeight="false" outlineLevel="0" collapsed="false">
      <c r="A34" s="6" t="s">
        <v>405</v>
      </c>
      <c r="B34" s="6" t="s">
        <v>312</v>
      </c>
      <c r="C34" s="6" t="s">
        <v>259</v>
      </c>
      <c r="D34" s="6" t="s">
        <v>230</v>
      </c>
      <c r="E34" s="6" t="s">
        <v>236</v>
      </c>
      <c r="F34" s="6" t="s">
        <v>319</v>
      </c>
      <c r="G34" s="6" t="str">
        <f aca="false">LEFT(F34,1)</f>
        <v>3</v>
      </c>
      <c r="H34" s="6" t="str">
        <f aca="false">LEFT(F34,2)</f>
        <v>32</v>
      </c>
      <c r="I34" s="6" t="str">
        <f aca="false">LEFT(F34,3)</f>
        <v>321</v>
      </c>
      <c r="J34" s="6" t="str">
        <f aca="false">LEFT(F34,4)</f>
        <v>3212</v>
      </c>
      <c r="K34" s="7" t="s">
        <v>320</v>
      </c>
      <c r="L34" s="33" t="n">
        <v>139400</v>
      </c>
      <c r="M34" s="8" t="n">
        <f aca="false">N34-L34</f>
        <v>600</v>
      </c>
      <c r="N34" s="33" t="n">
        <v>140000</v>
      </c>
      <c r="O34" s="9" t="n">
        <f aca="false">IF(L34=0,"-",N34/L34*100)</f>
        <v>100.430416068867</v>
      </c>
    </row>
    <row r="35" customFormat="false" ht="23.85" hidden="false" customHeight="false" outlineLevel="0" collapsed="false">
      <c r="A35" s="6" t="s">
        <v>405</v>
      </c>
      <c r="B35" s="6" t="s">
        <v>312</v>
      </c>
      <c r="C35" s="6" t="s">
        <v>259</v>
      </c>
      <c r="D35" s="6" t="s">
        <v>230</v>
      </c>
      <c r="E35" s="6" t="s">
        <v>236</v>
      </c>
      <c r="F35" s="6" t="s">
        <v>321</v>
      </c>
      <c r="G35" s="6" t="str">
        <f aca="false">LEFT(F35,1)</f>
        <v>3</v>
      </c>
      <c r="H35" s="6" t="str">
        <f aca="false">LEFT(F35,2)</f>
        <v>32</v>
      </c>
      <c r="I35" s="6" t="str">
        <f aca="false">LEFT(F35,3)</f>
        <v>329</v>
      </c>
      <c r="J35" s="6" t="str">
        <f aca="false">LEFT(F35,4)</f>
        <v>3295</v>
      </c>
      <c r="K35" s="7" t="s">
        <v>322</v>
      </c>
      <c r="L35" s="33" t="n">
        <v>6150</v>
      </c>
      <c r="M35" s="8" t="n">
        <f aca="false">N35-L35</f>
        <v>0</v>
      </c>
      <c r="N35" s="33" t="n">
        <v>6150</v>
      </c>
      <c r="O35" s="9" t="n">
        <f aca="false">IF(L35=0,"-",N35/L35*100)</f>
        <v>100</v>
      </c>
    </row>
    <row r="36" customFormat="false" ht="15" hidden="false" customHeight="false" outlineLevel="0" collapsed="false">
      <c r="A36" s="6" t="s">
        <v>406</v>
      </c>
      <c r="B36" s="6" t="s">
        <v>325</v>
      </c>
      <c r="C36" s="6" t="s">
        <v>259</v>
      </c>
      <c r="D36" s="6" t="s">
        <v>212</v>
      </c>
      <c r="E36" s="6" t="s">
        <v>214</v>
      </c>
      <c r="F36" s="6" t="s">
        <v>329</v>
      </c>
      <c r="G36" s="6" t="str">
        <f aca="false">LEFT(F36,1)</f>
        <v>4</v>
      </c>
      <c r="H36" s="6" t="str">
        <f aca="false">LEFT(F36,2)</f>
        <v>42</v>
      </c>
      <c r="I36" s="6" t="str">
        <f aca="false">LEFT(F36,3)</f>
        <v>426</v>
      </c>
      <c r="J36" s="6" t="str">
        <f aca="false">LEFT(F36,4)</f>
        <v>4264</v>
      </c>
      <c r="K36" s="7" t="s">
        <v>202</v>
      </c>
      <c r="L36" s="33" t="n">
        <v>15270.01</v>
      </c>
      <c r="M36" s="8" t="n">
        <f aca="false">N36-L36</f>
        <v>0</v>
      </c>
      <c r="N36" s="33" t="n">
        <v>15270.01</v>
      </c>
      <c r="O36" s="9" t="n">
        <f aca="false">IF(L36=0,"-",N36/L36*100)</f>
        <v>100</v>
      </c>
    </row>
    <row r="37" customFormat="false" ht="15" hidden="false" customHeight="false" outlineLevel="0" collapsed="false">
      <c r="A37" s="6" t="s">
        <v>406</v>
      </c>
      <c r="B37" s="6" t="s">
        <v>330</v>
      </c>
      <c r="C37" s="6" t="s">
        <v>259</v>
      </c>
      <c r="D37" s="6" t="s">
        <v>100</v>
      </c>
      <c r="E37" s="6" t="s">
        <v>100</v>
      </c>
      <c r="F37" s="6" t="s">
        <v>319</v>
      </c>
      <c r="G37" s="6" t="str">
        <f aca="false">LEFT(F37,1)</f>
        <v>3</v>
      </c>
      <c r="H37" s="6" t="str">
        <f aca="false">LEFT(F37,2)</f>
        <v>32</v>
      </c>
      <c r="I37" s="6" t="str">
        <f aca="false">LEFT(F37,3)</f>
        <v>321</v>
      </c>
      <c r="J37" s="6" t="str">
        <f aca="false">LEFT(F37,4)</f>
        <v>3212</v>
      </c>
      <c r="K37" s="7" t="s">
        <v>320</v>
      </c>
      <c r="L37" s="33" t="n">
        <v>1100</v>
      </c>
      <c r="M37" s="8" t="n">
        <f aca="false">N37-L37</f>
        <v>-100</v>
      </c>
      <c r="N37" s="33" t="n">
        <v>1000</v>
      </c>
      <c r="O37" s="9" t="n">
        <f aca="false">IF(L37=0,"-",N37/L37*100)</f>
        <v>90.9090909090909</v>
      </c>
    </row>
    <row r="38" customFormat="false" ht="15" hidden="false" customHeight="false" outlineLevel="0" collapsed="false">
      <c r="A38" s="6" t="s">
        <v>406</v>
      </c>
      <c r="B38" s="6" t="s">
        <v>330</v>
      </c>
      <c r="C38" s="6" t="s">
        <v>259</v>
      </c>
      <c r="D38" s="6" t="s">
        <v>100</v>
      </c>
      <c r="E38" s="6" t="s">
        <v>100</v>
      </c>
      <c r="F38" s="6" t="s">
        <v>274</v>
      </c>
      <c r="G38" s="6" t="str">
        <f aca="false">LEFT(F38,1)</f>
        <v>3</v>
      </c>
      <c r="H38" s="6" t="str">
        <f aca="false">LEFT(F38,2)</f>
        <v>32</v>
      </c>
      <c r="I38" s="6" t="str">
        <f aca="false">LEFT(F38,3)</f>
        <v>321</v>
      </c>
      <c r="J38" s="6" t="str">
        <f aca="false">LEFT(F38,4)</f>
        <v>3213</v>
      </c>
      <c r="K38" s="7" t="s">
        <v>275</v>
      </c>
      <c r="L38" s="33" t="n">
        <v>2500</v>
      </c>
      <c r="M38" s="8" t="n">
        <f aca="false">N38-L38</f>
        <v>500</v>
      </c>
      <c r="N38" s="33" t="n">
        <v>3000</v>
      </c>
      <c r="O38" s="9" t="n">
        <f aca="false">IF(L38=0,"-",N38/L38*100)</f>
        <v>120</v>
      </c>
    </row>
    <row r="39" customFormat="false" ht="23.85" hidden="false" customHeight="false" outlineLevel="0" collapsed="false">
      <c r="A39" s="6" t="s">
        <v>406</v>
      </c>
      <c r="B39" s="6" t="s">
        <v>330</v>
      </c>
      <c r="C39" s="6" t="s">
        <v>259</v>
      </c>
      <c r="D39" s="6" t="s">
        <v>100</v>
      </c>
      <c r="E39" s="6" t="s">
        <v>100</v>
      </c>
      <c r="F39" s="6" t="s">
        <v>285</v>
      </c>
      <c r="G39" s="6" t="str">
        <f aca="false">LEFT(F39,1)</f>
        <v>3</v>
      </c>
      <c r="H39" s="6" t="str">
        <f aca="false">LEFT(F39,2)</f>
        <v>32</v>
      </c>
      <c r="I39" s="6" t="str">
        <f aca="false">LEFT(F39,3)</f>
        <v>322</v>
      </c>
      <c r="J39" s="6" t="str">
        <f aca="false">LEFT(F39,4)</f>
        <v>3224</v>
      </c>
      <c r="K39" s="7" t="s">
        <v>286</v>
      </c>
      <c r="L39" s="33" t="n">
        <v>2000</v>
      </c>
      <c r="M39" s="8" t="n">
        <f aca="false">N39-L39</f>
        <v>0</v>
      </c>
      <c r="N39" s="33" t="n">
        <v>2000</v>
      </c>
      <c r="O39" s="9" t="n">
        <f aca="false">IF(L39=0,"-",N39/L39*100)</f>
        <v>100</v>
      </c>
    </row>
    <row r="40" customFormat="false" ht="15" hidden="false" customHeight="false" outlineLevel="0" collapsed="false">
      <c r="A40" s="6" t="s">
        <v>406</v>
      </c>
      <c r="B40" s="6" t="s">
        <v>330</v>
      </c>
      <c r="C40" s="6" t="s">
        <v>259</v>
      </c>
      <c r="D40" s="6" t="s">
        <v>100</v>
      </c>
      <c r="E40" s="6" t="s">
        <v>100</v>
      </c>
      <c r="F40" s="6" t="s">
        <v>292</v>
      </c>
      <c r="G40" s="6" t="str">
        <f aca="false">LEFT(F40,1)</f>
        <v>3</v>
      </c>
      <c r="H40" s="6" t="str">
        <f aca="false">LEFT(F40,2)</f>
        <v>32</v>
      </c>
      <c r="I40" s="6" t="str">
        <f aca="false">LEFT(F40,3)</f>
        <v>323</v>
      </c>
      <c r="J40" s="6" t="str">
        <f aca="false">LEFT(F40,4)</f>
        <v>3232</v>
      </c>
      <c r="K40" s="7" t="s">
        <v>293</v>
      </c>
      <c r="L40" s="33" t="n">
        <v>3318.07</v>
      </c>
      <c r="M40" s="8" t="n">
        <f aca="false">N40-L40</f>
        <v>0</v>
      </c>
      <c r="N40" s="33" t="n">
        <v>3318.07</v>
      </c>
      <c r="O40" s="9" t="n">
        <f aca="false">IF(L40=0,"-",N40/L40*100)</f>
        <v>100</v>
      </c>
    </row>
    <row r="41" customFormat="false" ht="15" hidden="false" customHeight="false" outlineLevel="0" collapsed="false">
      <c r="A41" s="6" t="s">
        <v>406</v>
      </c>
      <c r="B41" s="6" t="s">
        <v>330</v>
      </c>
      <c r="C41" s="6" t="s">
        <v>259</v>
      </c>
      <c r="D41" s="6" t="s">
        <v>100</v>
      </c>
      <c r="E41" s="6" t="s">
        <v>100</v>
      </c>
      <c r="F41" s="6" t="s">
        <v>294</v>
      </c>
      <c r="G41" s="6" t="str">
        <f aca="false">LEFT(F41,1)</f>
        <v>3</v>
      </c>
      <c r="H41" s="6" t="str">
        <f aca="false">LEFT(F41,2)</f>
        <v>32</v>
      </c>
      <c r="I41" s="6" t="str">
        <f aca="false">LEFT(F41,3)</f>
        <v>323</v>
      </c>
      <c r="J41" s="6" t="str">
        <f aca="false">LEFT(F41,4)</f>
        <v>3234</v>
      </c>
      <c r="K41" s="7" t="s">
        <v>295</v>
      </c>
      <c r="L41" s="33" t="n">
        <v>5000</v>
      </c>
      <c r="M41" s="8" t="n">
        <f aca="false">N41-L41</f>
        <v>-4000</v>
      </c>
      <c r="N41" s="33" t="n">
        <v>1000</v>
      </c>
      <c r="O41" s="9" t="n">
        <f aca="false">IF(L41=0,"-",N41/L41*100)</f>
        <v>20</v>
      </c>
    </row>
    <row r="42" customFormat="false" ht="15" hidden="false" customHeight="false" outlineLevel="0" collapsed="false">
      <c r="A42" s="6" t="s">
        <v>406</v>
      </c>
      <c r="B42" s="6" t="s">
        <v>330</v>
      </c>
      <c r="C42" s="6" t="s">
        <v>259</v>
      </c>
      <c r="D42" s="6" t="s">
        <v>100</v>
      </c>
      <c r="E42" s="6" t="s">
        <v>100</v>
      </c>
      <c r="F42" s="6" t="s">
        <v>298</v>
      </c>
      <c r="G42" s="6" t="str">
        <f aca="false">LEFT(F42,1)</f>
        <v>3</v>
      </c>
      <c r="H42" s="6" t="str">
        <f aca="false">LEFT(F42,2)</f>
        <v>32</v>
      </c>
      <c r="I42" s="6" t="str">
        <f aca="false">LEFT(F42,3)</f>
        <v>323</v>
      </c>
      <c r="J42" s="6" t="str">
        <f aca="false">LEFT(F42,4)</f>
        <v>3235</v>
      </c>
      <c r="K42" s="7" t="s">
        <v>299</v>
      </c>
      <c r="L42" s="33" t="n">
        <v>2000</v>
      </c>
      <c r="M42" s="8" t="n">
        <f aca="false">N42-L42</f>
        <v>1000</v>
      </c>
      <c r="N42" s="33" t="n">
        <v>3000</v>
      </c>
      <c r="O42" s="9" t="n">
        <f aca="false">IF(L42=0,"-",N42/L42*100)</f>
        <v>150</v>
      </c>
    </row>
    <row r="43" customFormat="false" ht="15" hidden="false" customHeight="false" outlineLevel="0" collapsed="false">
      <c r="A43" s="6" t="s">
        <v>406</v>
      </c>
      <c r="B43" s="6" t="s">
        <v>330</v>
      </c>
      <c r="C43" s="6" t="s">
        <v>259</v>
      </c>
      <c r="D43" s="6" t="s">
        <v>100</v>
      </c>
      <c r="E43" s="6" t="s">
        <v>100</v>
      </c>
      <c r="F43" s="6" t="s">
        <v>302</v>
      </c>
      <c r="G43" s="6" t="str">
        <f aca="false">LEFT(F43,1)</f>
        <v>3</v>
      </c>
      <c r="H43" s="6" t="str">
        <f aca="false">LEFT(F43,2)</f>
        <v>32</v>
      </c>
      <c r="I43" s="6" t="str">
        <f aca="false">LEFT(F43,3)</f>
        <v>323</v>
      </c>
      <c r="J43" s="6" t="str">
        <f aca="false">LEFT(F43,4)</f>
        <v>3237</v>
      </c>
      <c r="K43" s="7" t="s">
        <v>303</v>
      </c>
      <c r="L43" s="33" t="n">
        <v>600</v>
      </c>
      <c r="M43" s="8" t="n">
        <f aca="false">N43-L43</f>
        <v>400</v>
      </c>
      <c r="N43" s="33" t="n">
        <v>1000</v>
      </c>
      <c r="O43" s="9" t="n">
        <f aca="false">IF(L43=0,"-",N43/L43*100)</f>
        <v>166.666666666667</v>
      </c>
    </row>
    <row r="44" customFormat="false" ht="15" hidden="false" customHeight="false" outlineLevel="0" collapsed="false">
      <c r="A44" s="6" t="s">
        <v>406</v>
      </c>
      <c r="B44" s="6" t="s">
        <v>330</v>
      </c>
      <c r="C44" s="6" t="s">
        <v>259</v>
      </c>
      <c r="D44" s="6" t="s">
        <v>100</v>
      </c>
      <c r="E44" s="6" t="s">
        <v>100</v>
      </c>
      <c r="F44" s="6" t="s">
        <v>334</v>
      </c>
      <c r="G44" s="6" t="str">
        <f aca="false">LEFT(F44,1)</f>
        <v>3</v>
      </c>
      <c r="H44" s="6" t="str">
        <f aca="false">LEFT(F44,2)</f>
        <v>32</v>
      </c>
      <c r="I44" s="6" t="str">
        <f aca="false">LEFT(F44,3)</f>
        <v>323</v>
      </c>
      <c r="J44" s="6" t="str">
        <f aca="false">LEFT(F44,4)</f>
        <v>3238</v>
      </c>
      <c r="K44" s="7" t="s">
        <v>335</v>
      </c>
      <c r="L44" s="33" t="n">
        <v>330</v>
      </c>
      <c r="M44" s="8" t="n">
        <f aca="false">N44-L44</f>
        <v>0</v>
      </c>
      <c r="N44" s="33" t="n">
        <v>330</v>
      </c>
      <c r="O44" s="9" t="n">
        <f aca="false">IF(L44=0,"-",N44/L44*100)</f>
        <v>100</v>
      </c>
    </row>
    <row r="45" customFormat="false" ht="15" hidden="false" customHeight="false" outlineLevel="0" collapsed="false">
      <c r="A45" s="6" t="s">
        <v>406</v>
      </c>
      <c r="B45" s="6" t="s">
        <v>330</v>
      </c>
      <c r="C45" s="6" t="s">
        <v>259</v>
      </c>
      <c r="D45" s="6" t="s">
        <v>100</v>
      </c>
      <c r="E45" s="6" t="s">
        <v>100</v>
      </c>
      <c r="F45" s="6" t="s">
        <v>336</v>
      </c>
      <c r="G45" s="6" t="str">
        <f aca="false">LEFT(F45,1)</f>
        <v>3</v>
      </c>
      <c r="H45" s="6" t="str">
        <f aca="false">LEFT(F45,2)</f>
        <v>32</v>
      </c>
      <c r="I45" s="6" t="str">
        <f aca="false">LEFT(F45,3)</f>
        <v>323</v>
      </c>
      <c r="J45" s="6" t="str">
        <f aca="false">LEFT(F45,4)</f>
        <v>3239</v>
      </c>
      <c r="K45" s="7" t="s">
        <v>337</v>
      </c>
      <c r="L45" s="33" t="n">
        <v>400</v>
      </c>
      <c r="M45" s="8" t="n">
        <f aca="false">N45-L45</f>
        <v>0</v>
      </c>
      <c r="N45" s="33" t="n">
        <v>400</v>
      </c>
      <c r="O45" s="9" t="n">
        <f aca="false">IF(L45=0,"-",N45/L45*100)</f>
        <v>100</v>
      </c>
    </row>
    <row r="46" customFormat="false" ht="15" hidden="false" customHeight="false" outlineLevel="0" collapsed="false">
      <c r="A46" s="6" t="s">
        <v>406</v>
      </c>
      <c r="B46" s="6" t="s">
        <v>330</v>
      </c>
      <c r="C46" s="6" t="s">
        <v>259</v>
      </c>
      <c r="D46" s="6" t="s">
        <v>100</v>
      </c>
      <c r="E46" s="6" t="s">
        <v>100</v>
      </c>
      <c r="F46" s="6" t="s">
        <v>338</v>
      </c>
      <c r="G46" s="6" t="str">
        <f aca="false">LEFT(F46,1)</f>
        <v>3</v>
      </c>
      <c r="H46" s="6" t="str">
        <f aca="false">LEFT(F46,2)</f>
        <v>34</v>
      </c>
      <c r="I46" s="6" t="str">
        <f aca="false">LEFT(F46,3)</f>
        <v>343</v>
      </c>
      <c r="J46" s="6" t="str">
        <f aca="false">LEFT(F46,4)</f>
        <v>3433</v>
      </c>
      <c r="K46" s="7" t="s">
        <v>339</v>
      </c>
      <c r="L46" s="33" t="n">
        <v>500</v>
      </c>
      <c r="M46" s="8" t="n">
        <f aca="false">N46-L46</f>
        <v>0</v>
      </c>
      <c r="N46" s="33" t="n">
        <v>500</v>
      </c>
      <c r="O46" s="9" t="n">
        <f aca="false">IF(L46=0,"-",N46/L46*100)</f>
        <v>100</v>
      </c>
    </row>
    <row r="47" customFormat="false" ht="15" hidden="false" customHeight="false" outlineLevel="0" collapsed="false">
      <c r="A47" s="6" t="s">
        <v>406</v>
      </c>
      <c r="B47" s="6" t="s">
        <v>330</v>
      </c>
      <c r="C47" s="6" t="s">
        <v>259</v>
      </c>
      <c r="D47" s="6" t="s">
        <v>100</v>
      </c>
      <c r="E47" s="6" t="s">
        <v>100</v>
      </c>
      <c r="F47" s="6" t="s">
        <v>340</v>
      </c>
      <c r="G47" s="6" t="str">
        <f aca="false">LEFT(F47,1)</f>
        <v>4</v>
      </c>
      <c r="H47" s="6" t="str">
        <f aca="false">LEFT(F47,2)</f>
        <v>42</v>
      </c>
      <c r="I47" s="6" t="str">
        <f aca="false">LEFT(F47,3)</f>
        <v>422</v>
      </c>
      <c r="J47" s="6" t="str">
        <f aca="false">LEFT(F47,4)</f>
        <v>4221</v>
      </c>
      <c r="K47" s="7" t="s">
        <v>341</v>
      </c>
      <c r="L47" s="33" t="n">
        <v>2000</v>
      </c>
      <c r="M47" s="8" t="n">
        <f aca="false">N47-L47</f>
        <v>2000</v>
      </c>
      <c r="N47" s="33" t="n">
        <v>4000</v>
      </c>
      <c r="O47" s="9" t="n">
        <f aca="false">IF(L47=0,"-",N47/L47*100)</f>
        <v>200</v>
      </c>
    </row>
    <row r="48" customFormat="false" ht="15" hidden="false" customHeight="false" outlineLevel="0" collapsed="false">
      <c r="A48" s="6" t="s">
        <v>406</v>
      </c>
      <c r="B48" s="6" t="s">
        <v>330</v>
      </c>
      <c r="C48" s="6" t="s">
        <v>259</v>
      </c>
      <c r="D48" s="6" t="s">
        <v>100</v>
      </c>
      <c r="E48" s="6" t="s">
        <v>100</v>
      </c>
      <c r="F48" s="6" t="s">
        <v>342</v>
      </c>
      <c r="G48" s="6" t="str">
        <f aca="false">LEFT(F48,1)</f>
        <v>4</v>
      </c>
      <c r="H48" s="6" t="str">
        <f aca="false">LEFT(F48,2)</f>
        <v>42</v>
      </c>
      <c r="I48" s="6" t="str">
        <f aca="false">LEFT(F48,3)</f>
        <v>422</v>
      </c>
      <c r="J48" s="6" t="str">
        <f aca="false">LEFT(F48,4)</f>
        <v>4227</v>
      </c>
      <c r="K48" s="7" t="s">
        <v>343</v>
      </c>
      <c r="L48" s="33" t="n">
        <v>2000</v>
      </c>
      <c r="M48" s="8" t="n">
        <f aca="false">N48-L48</f>
        <v>0</v>
      </c>
      <c r="N48" s="33" t="n">
        <v>2000</v>
      </c>
      <c r="O48" s="9" t="n">
        <f aca="false">IF(L48=0,"-",N48/L48*100)</f>
        <v>100</v>
      </c>
    </row>
    <row r="49" customFormat="false" ht="15" hidden="false" customHeight="false" outlineLevel="0" collapsed="false">
      <c r="A49" s="6" t="s">
        <v>406</v>
      </c>
      <c r="B49" s="6" t="s">
        <v>330</v>
      </c>
      <c r="C49" s="6" t="s">
        <v>259</v>
      </c>
      <c r="D49" s="6" t="s">
        <v>222</v>
      </c>
      <c r="E49" s="6" t="s">
        <v>222</v>
      </c>
      <c r="F49" s="6" t="s">
        <v>345</v>
      </c>
      <c r="G49" s="6" t="str">
        <f aca="false">LEFT(F49,1)</f>
        <v>3</v>
      </c>
      <c r="H49" s="6" t="str">
        <f aca="false">LEFT(F49,2)</f>
        <v>31</v>
      </c>
      <c r="I49" s="6" t="str">
        <f aca="false">LEFT(F49,3)</f>
        <v>312</v>
      </c>
      <c r="J49" s="6" t="str">
        <f aca="false">LEFT(F49,4)</f>
        <v>3121</v>
      </c>
      <c r="K49" s="7" t="s">
        <v>346</v>
      </c>
      <c r="L49" s="33" t="n">
        <v>400</v>
      </c>
      <c r="M49" s="8" t="n">
        <f aca="false">N49-L49</f>
        <v>0</v>
      </c>
      <c r="N49" s="33" t="n">
        <v>400</v>
      </c>
      <c r="O49" s="9" t="n">
        <f aca="false">IF(L49=0,"-",N49/L49*100)</f>
        <v>100</v>
      </c>
    </row>
    <row r="50" customFormat="false" ht="15" hidden="false" customHeight="false" outlineLevel="0" collapsed="false">
      <c r="A50" s="6" t="s">
        <v>406</v>
      </c>
      <c r="B50" s="6" t="s">
        <v>330</v>
      </c>
      <c r="C50" s="6" t="s">
        <v>259</v>
      </c>
      <c r="D50" s="6" t="s">
        <v>222</v>
      </c>
      <c r="E50" s="6" t="s">
        <v>222</v>
      </c>
      <c r="F50" s="6" t="s">
        <v>347</v>
      </c>
      <c r="G50" s="6" t="str">
        <f aca="false">LEFT(F50,1)</f>
        <v>3</v>
      </c>
      <c r="H50" s="6" t="str">
        <f aca="false">LEFT(F50,2)</f>
        <v>31</v>
      </c>
      <c r="I50" s="6" t="str">
        <f aca="false">LEFT(F50,3)</f>
        <v>312</v>
      </c>
      <c r="J50" s="6" t="str">
        <f aca="false">LEFT(F50,4)</f>
        <v>3121</v>
      </c>
      <c r="K50" s="7" t="s">
        <v>348</v>
      </c>
      <c r="L50" s="33" t="n">
        <v>350</v>
      </c>
      <c r="M50" s="8" t="n">
        <f aca="false">N50-L50</f>
        <v>150</v>
      </c>
      <c r="N50" s="33" t="n">
        <v>500</v>
      </c>
      <c r="O50" s="9" t="n">
        <f aca="false">IF(L50=0,"-",N50/L50*100)</f>
        <v>142.857142857143</v>
      </c>
    </row>
    <row r="51" customFormat="false" ht="15" hidden="false" customHeight="false" outlineLevel="0" collapsed="false">
      <c r="A51" s="6" t="s">
        <v>406</v>
      </c>
      <c r="B51" s="6" t="s">
        <v>330</v>
      </c>
      <c r="C51" s="6" t="s">
        <v>259</v>
      </c>
      <c r="D51" s="6" t="s">
        <v>222</v>
      </c>
      <c r="E51" s="6" t="s">
        <v>222</v>
      </c>
      <c r="F51" s="6" t="s">
        <v>349</v>
      </c>
      <c r="G51" s="6" t="str">
        <f aca="false">LEFT(F51,1)</f>
        <v>3</v>
      </c>
      <c r="H51" s="6" t="str">
        <f aca="false">LEFT(F51,2)</f>
        <v>31</v>
      </c>
      <c r="I51" s="6" t="str">
        <f aca="false">LEFT(F51,3)</f>
        <v>312</v>
      </c>
      <c r="J51" s="6" t="str">
        <f aca="false">LEFT(F51,4)</f>
        <v>3121</v>
      </c>
      <c r="K51" s="7" t="s">
        <v>350</v>
      </c>
      <c r="L51" s="33" t="n">
        <v>350</v>
      </c>
      <c r="M51" s="8" t="n">
        <f aca="false">N51-L51</f>
        <v>150</v>
      </c>
      <c r="N51" s="33" t="n">
        <v>500</v>
      </c>
      <c r="O51" s="9" t="n">
        <f aca="false">IF(L51=0,"-",N51/L51*100)</f>
        <v>142.857142857143</v>
      </c>
    </row>
    <row r="52" customFormat="false" ht="15" hidden="false" customHeight="false" outlineLevel="0" collapsed="false">
      <c r="A52" s="6" t="s">
        <v>406</v>
      </c>
      <c r="B52" s="6" t="s">
        <v>330</v>
      </c>
      <c r="C52" s="6" t="s">
        <v>259</v>
      </c>
      <c r="D52" s="6" t="s">
        <v>222</v>
      </c>
      <c r="E52" s="6" t="s">
        <v>222</v>
      </c>
      <c r="F52" s="6" t="s">
        <v>279</v>
      </c>
      <c r="G52" s="6" t="str">
        <f aca="false">LEFT(F52,1)</f>
        <v>3</v>
      </c>
      <c r="H52" s="6" t="str">
        <f aca="false">LEFT(F52,2)</f>
        <v>32</v>
      </c>
      <c r="I52" s="6" t="str">
        <f aca="false">LEFT(F52,3)</f>
        <v>322</v>
      </c>
      <c r="J52" s="6" t="str">
        <f aca="false">LEFT(F52,4)</f>
        <v>3222</v>
      </c>
      <c r="K52" s="7" t="s">
        <v>280</v>
      </c>
      <c r="L52" s="33" t="n">
        <v>2000</v>
      </c>
      <c r="M52" s="8" t="n">
        <f aca="false">N52-L52</f>
        <v>0</v>
      </c>
      <c r="N52" s="33" t="n">
        <v>2000</v>
      </c>
      <c r="O52" s="9" t="n">
        <f aca="false">IF(L52=0,"-",N52/L52*100)</f>
        <v>100</v>
      </c>
    </row>
    <row r="53" customFormat="false" ht="15" hidden="false" customHeight="false" outlineLevel="0" collapsed="false">
      <c r="A53" s="6" t="s">
        <v>406</v>
      </c>
      <c r="B53" s="6" t="s">
        <v>330</v>
      </c>
      <c r="C53" s="6" t="s">
        <v>259</v>
      </c>
      <c r="D53" s="6" t="s">
        <v>222</v>
      </c>
      <c r="E53" s="6" t="s">
        <v>222</v>
      </c>
      <c r="F53" s="6" t="s">
        <v>351</v>
      </c>
      <c r="G53" s="6" t="str">
        <f aca="false">LEFT(F53,1)</f>
        <v>3</v>
      </c>
      <c r="H53" s="6" t="str">
        <f aca="false">LEFT(F53,2)</f>
        <v>32</v>
      </c>
      <c r="I53" s="6" t="str">
        <f aca="false">LEFT(F53,3)</f>
        <v>322</v>
      </c>
      <c r="J53" s="6" t="str">
        <f aca="false">LEFT(F53,4)</f>
        <v>3222</v>
      </c>
      <c r="K53" s="7" t="s">
        <v>352</v>
      </c>
      <c r="L53" s="33" t="n">
        <v>5000</v>
      </c>
      <c r="M53" s="8" t="n">
        <f aca="false">N53-L53</f>
        <v>6250</v>
      </c>
      <c r="N53" s="33" t="n">
        <v>11250</v>
      </c>
      <c r="O53" s="9" t="n">
        <f aca="false">IF(L53=0,"-",N53/L53*100)</f>
        <v>225</v>
      </c>
    </row>
    <row r="54" customFormat="false" ht="15" hidden="false" customHeight="false" outlineLevel="0" collapsed="false">
      <c r="A54" s="6" t="s">
        <v>406</v>
      </c>
      <c r="B54" s="6" t="s">
        <v>330</v>
      </c>
      <c r="C54" s="6" t="s">
        <v>259</v>
      </c>
      <c r="D54" s="6" t="s">
        <v>222</v>
      </c>
      <c r="E54" s="6" t="s">
        <v>222</v>
      </c>
      <c r="F54" s="6" t="s">
        <v>298</v>
      </c>
      <c r="G54" s="6" t="str">
        <f aca="false">LEFT(F54,1)</f>
        <v>3</v>
      </c>
      <c r="H54" s="6" t="str">
        <f aca="false">LEFT(F54,2)</f>
        <v>32</v>
      </c>
      <c r="I54" s="6" t="str">
        <f aca="false">LEFT(F54,3)</f>
        <v>323</v>
      </c>
      <c r="J54" s="6" t="str">
        <f aca="false">LEFT(F54,4)</f>
        <v>3235</v>
      </c>
      <c r="K54" s="7" t="s">
        <v>299</v>
      </c>
      <c r="L54" s="33" t="n">
        <v>3000</v>
      </c>
      <c r="M54" s="8" t="n">
        <f aca="false">N54-L54</f>
        <v>0</v>
      </c>
      <c r="N54" s="33" t="n">
        <v>3000</v>
      </c>
      <c r="O54" s="9" t="n">
        <f aca="false">IF(L54=0,"-",N54/L54*100)</f>
        <v>100</v>
      </c>
    </row>
    <row r="55" customFormat="false" ht="15" hidden="false" customHeight="false" outlineLevel="0" collapsed="false">
      <c r="A55" s="6" t="s">
        <v>406</v>
      </c>
      <c r="B55" s="6" t="s">
        <v>330</v>
      </c>
      <c r="C55" s="6" t="s">
        <v>259</v>
      </c>
      <c r="D55" s="6" t="s">
        <v>187</v>
      </c>
      <c r="E55" s="6" t="s">
        <v>226</v>
      </c>
      <c r="F55" s="6" t="s">
        <v>279</v>
      </c>
      <c r="G55" s="6" t="str">
        <f aca="false">LEFT(F55,1)</f>
        <v>3</v>
      </c>
      <c r="H55" s="6" t="str">
        <f aca="false">LEFT(F55,2)</f>
        <v>32</v>
      </c>
      <c r="I55" s="6" t="str">
        <f aca="false">LEFT(F55,3)</f>
        <v>322</v>
      </c>
      <c r="J55" s="6" t="str">
        <f aca="false">LEFT(F55,4)</f>
        <v>3222</v>
      </c>
      <c r="K55" s="7" t="s">
        <v>280</v>
      </c>
      <c r="L55" s="33" t="n">
        <v>350</v>
      </c>
      <c r="M55" s="8" t="n">
        <f aca="false">N55-L55</f>
        <v>0</v>
      </c>
      <c r="N55" s="33" t="n">
        <v>350</v>
      </c>
      <c r="O55" s="9" t="n">
        <f aca="false">IF(L55=0,"-",N55/L55*100)</f>
        <v>100</v>
      </c>
    </row>
    <row r="56" customFormat="false" ht="15" hidden="false" customHeight="false" outlineLevel="0" collapsed="false">
      <c r="A56" s="6" t="s">
        <v>406</v>
      </c>
      <c r="B56" s="6" t="s">
        <v>330</v>
      </c>
      <c r="C56" s="6" t="s">
        <v>259</v>
      </c>
      <c r="D56" s="6" t="s">
        <v>187</v>
      </c>
      <c r="E56" s="6" t="s">
        <v>226</v>
      </c>
      <c r="F56" s="6" t="s">
        <v>351</v>
      </c>
      <c r="G56" s="6" t="str">
        <f aca="false">LEFT(F56,1)</f>
        <v>3</v>
      </c>
      <c r="H56" s="6" t="str">
        <f aca="false">LEFT(F56,2)</f>
        <v>32</v>
      </c>
      <c r="I56" s="6" t="str">
        <f aca="false">LEFT(F56,3)</f>
        <v>322</v>
      </c>
      <c r="J56" s="6" t="str">
        <f aca="false">LEFT(F56,4)</f>
        <v>3222</v>
      </c>
      <c r="K56" s="7" t="s">
        <v>352</v>
      </c>
      <c r="L56" s="33" t="n">
        <v>4000</v>
      </c>
      <c r="M56" s="8" t="n">
        <f aca="false">N56-L56</f>
        <v>-4000</v>
      </c>
      <c r="N56" s="33" t="n">
        <v>0</v>
      </c>
      <c r="O56" s="9" t="n">
        <f aca="false">IF(L56=0,"-",N56/L56*100)</f>
        <v>0</v>
      </c>
    </row>
    <row r="57" customFormat="false" ht="23.85" hidden="false" customHeight="false" outlineLevel="0" collapsed="false">
      <c r="A57" s="6" t="s">
        <v>406</v>
      </c>
      <c r="B57" s="6" t="s">
        <v>330</v>
      </c>
      <c r="C57" s="6" t="s">
        <v>259</v>
      </c>
      <c r="D57" s="6" t="s">
        <v>187</v>
      </c>
      <c r="E57" s="6" t="s">
        <v>226</v>
      </c>
      <c r="F57" s="6" t="s">
        <v>285</v>
      </c>
      <c r="G57" s="6" t="str">
        <f aca="false">LEFT(F57,1)</f>
        <v>3</v>
      </c>
      <c r="H57" s="6" t="str">
        <f aca="false">LEFT(F57,2)</f>
        <v>32</v>
      </c>
      <c r="I57" s="6" t="str">
        <f aca="false">LEFT(F57,3)</f>
        <v>322</v>
      </c>
      <c r="J57" s="6" t="str">
        <f aca="false">LEFT(F57,4)</f>
        <v>3224</v>
      </c>
      <c r="K57" s="7" t="s">
        <v>286</v>
      </c>
      <c r="L57" s="33" t="n">
        <v>0</v>
      </c>
      <c r="M57" s="8" t="n">
        <f aca="false">N57-L57</f>
        <v>1000</v>
      </c>
      <c r="N57" s="33" t="n">
        <v>1000</v>
      </c>
      <c r="O57" s="9" t="str">
        <f aca="false">IF(L57=0,"-",N57/L57*100)</f>
        <v>-</v>
      </c>
    </row>
    <row r="58" customFormat="false" ht="15" hidden="false" customHeight="false" outlineLevel="0" collapsed="false">
      <c r="A58" s="6" t="s">
        <v>406</v>
      </c>
      <c r="B58" s="6" t="s">
        <v>330</v>
      </c>
      <c r="C58" s="6" t="s">
        <v>259</v>
      </c>
      <c r="D58" s="6" t="s">
        <v>187</v>
      </c>
      <c r="E58" s="6" t="s">
        <v>226</v>
      </c>
      <c r="F58" s="6" t="s">
        <v>292</v>
      </c>
      <c r="G58" s="6" t="str">
        <f aca="false">LEFT(F58,1)</f>
        <v>3</v>
      </c>
      <c r="H58" s="6" t="str">
        <f aca="false">LEFT(F58,2)</f>
        <v>32</v>
      </c>
      <c r="I58" s="6" t="str">
        <f aca="false">LEFT(F58,3)</f>
        <v>323</v>
      </c>
      <c r="J58" s="6" t="str">
        <f aca="false">LEFT(F58,4)</f>
        <v>3232</v>
      </c>
      <c r="K58" s="7" t="s">
        <v>293</v>
      </c>
      <c r="L58" s="33" t="n">
        <v>1000</v>
      </c>
      <c r="M58" s="8" t="n">
        <f aca="false">N58-L58</f>
        <v>1901.97</v>
      </c>
      <c r="N58" s="33" t="n">
        <v>2901.97</v>
      </c>
      <c r="O58" s="9" t="n">
        <f aca="false">IF(L58=0,"-",N58/L58*100)</f>
        <v>290.197</v>
      </c>
    </row>
    <row r="59" customFormat="false" ht="15" hidden="false" customHeight="false" outlineLevel="0" collapsed="false">
      <c r="A59" s="6" t="s">
        <v>406</v>
      </c>
      <c r="B59" s="6" t="s">
        <v>330</v>
      </c>
      <c r="C59" s="6" t="s">
        <v>259</v>
      </c>
      <c r="D59" s="6" t="s">
        <v>187</v>
      </c>
      <c r="E59" s="6" t="s">
        <v>226</v>
      </c>
      <c r="F59" s="6" t="s">
        <v>355</v>
      </c>
      <c r="G59" s="6" t="str">
        <f aca="false">LEFT(F59,1)</f>
        <v>3</v>
      </c>
      <c r="H59" s="6" t="str">
        <f aca="false">LEFT(F59,2)</f>
        <v>32</v>
      </c>
      <c r="I59" s="6" t="str">
        <f aca="false">LEFT(F59,3)</f>
        <v>323</v>
      </c>
      <c r="J59" s="6" t="str">
        <f aca="false">LEFT(F59,4)</f>
        <v>3232</v>
      </c>
      <c r="K59" s="7" t="s">
        <v>356</v>
      </c>
      <c r="L59" s="33" t="n">
        <v>1500</v>
      </c>
      <c r="M59" s="8" t="n">
        <f aca="false">N59-L59</f>
        <v>-1500</v>
      </c>
      <c r="N59" s="33" t="n">
        <v>0</v>
      </c>
      <c r="O59" s="9" t="n">
        <f aca="false">IF(L59=0,"-",N59/L59*100)</f>
        <v>0</v>
      </c>
    </row>
    <row r="60" customFormat="false" ht="15" hidden="false" customHeight="false" outlineLevel="0" collapsed="false">
      <c r="A60" s="6" t="s">
        <v>406</v>
      </c>
      <c r="B60" s="6" t="s">
        <v>330</v>
      </c>
      <c r="C60" s="6" t="s">
        <v>259</v>
      </c>
      <c r="D60" s="6" t="s">
        <v>187</v>
      </c>
      <c r="E60" s="6" t="s">
        <v>226</v>
      </c>
      <c r="F60" s="6" t="s">
        <v>334</v>
      </c>
      <c r="G60" s="6" t="str">
        <f aca="false">LEFT(F60,1)</f>
        <v>3</v>
      </c>
      <c r="H60" s="6" t="str">
        <f aca="false">LEFT(F60,2)</f>
        <v>32</v>
      </c>
      <c r="I60" s="6" t="str">
        <f aca="false">LEFT(F60,3)</f>
        <v>323</v>
      </c>
      <c r="J60" s="6" t="str">
        <f aca="false">LEFT(F60,4)</f>
        <v>3238</v>
      </c>
      <c r="K60" s="7" t="s">
        <v>335</v>
      </c>
      <c r="L60" s="33" t="n">
        <v>330</v>
      </c>
      <c r="M60" s="8" t="n">
        <f aca="false">N60-L60</f>
        <v>170</v>
      </c>
      <c r="N60" s="33" t="n">
        <v>500</v>
      </c>
      <c r="O60" s="9" t="n">
        <f aca="false">IF(L60=0,"-",N60/L60*100)</f>
        <v>151.515151515152</v>
      </c>
    </row>
    <row r="61" customFormat="false" ht="15" hidden="false" customHeight="false" outlineLevel="0" collapsed="false">
      <c r="A61" s="6" t="s">
        <v>406</v>
      </c>
      <c r="B61" s="6" t="s">
        <v>330</v>
      </c>
      <c r="C61" s="6" t="s">
        <v>259</v>
      </c>
      <c r="D61" s="6" t="s">
        <v>187</v>
      </c>
      <c r="E61" s="6" t="s">
        <v>226</v>
      </c>
      <c r="F61" s="6" t="s">
        <v>357</v>
      </c>
      <c r="G61" s="6" t="str">
        <f aca="false">LEFT(F61,1)</f>
        <v>3</v>
      </c>
      <c r="H61" s="6" t="str">
        <f aca="false">LEFT(F61,2)</f>
        <v>32</v>
      </c>
      <c r="I61" s="6" t="str">
        <f aca="false">LEFT(F61,3)</f>
        <v>329</v>
      </c>
      <c r="J61" s="6" t="str">
        <f aca="false">LEFT(F61,4)</f>
        <v>3293</v>
      </c>
      <c r="K61" s="7" t="s">
        <v>162</v>
      </c>
      <c r="L61" s="33" t="n">
        <v>2000</v>
      </c>
      <c r="M61" s="8" t="n">
        <f aca="false">N61-L61</f>
        <v>-500</v>
      </c>
      <c r="N61" s="33" t="n">
        <v>1500</v>
      </c>
      <c r="O61" s="9" t="n">
        <f aca="false">IF(L61=0,"-",N61/L61*100)</f>
        <v>75</v>
      </c>
    </row>
    <row r="62" customFormat="false" ht="15" hidden="false" customHeight="false" outlineLevel="0" collapsed="false">
      <c r="A62" s="6" t="s">
        <v>406</v>
      </c>
      <c r="B62" s="6" t="s">
        <v>330</v>
      </c>
      <c r="C62" s="6" t="s">
        <v>259</v>
      </c>
      <c r="D62" s="6" t="s">
        <v>187</v>
      </c>
      <c r="E62" s="6" t="s">
        <v>226</v>
      </c>
      <c r="F62" s="6" t="s">
        <v>340</v>
      </c>
      <c r="G62" s="6" t="str">
        <f aca="false">LEFT(F62,1)</f>
        <v>4</v>
      </c>
      <c r="H62" s="6" t="str">
        <f aca="false">LEFT(F62,2)</f>
        <v>42</v>
      </c>
      <c r="I62" s="6" t="str">
        <f aca="false">LEFT(F62,3)</f>
        <v>422</v>
      </c>
      <c r="J62" s="6" t="str">
        <f aca="false">LEFT(F62,4)</f>
        <v>4221</v>
      </c>
      <c r="K62" s="7" t="s">
        <v>341</v>
      </c>
      <c r="L62" s="33" t="n">
        <v>0</v>
      </c>
      <c r="M62" s="8" t="n">
        <f aca="false">N62-L62</f>
        <v>1500</v>
      </c>
      <c r="N62" s="33" t="n">
        <v>1500</v>
      </c>
      <c r="O62" s="9" t="str">
        <f aca="false">IF(L62=0,"-",N62/L62*100)</f>
        <v>-</v>
      </c>
    </row>
    <row r="63" customFormat="false" ht="15" hidden="false" customHeight="false" outlineLevel="0" collapsed="false">
      <c r="A63" s="6" t="s">
        <v>406</v>
      </c>
      <c r="B63" s="6" t="s">
        <v>330</v>
      </c>
      <c r="C63" s="6" t="s">
        <v>259</v>
      </c>
      <c r="D63" s="6" t="s">
        <v>187</v>
      </c>
      <c r="E63" s="6" t="s">
        <v>226</v>
      </c>
      <c r="F63" s="6" t="s">
        <v>342</v>
      </c>
      <c r="G63" s="6" t="str">
        <f aca="false">LEFT(F63,1)</f>
        <v>4</v>
      </c>
      <c r="H63" s="6" t="str">
        <f aca="false">LEFT(F63,2)</f>
        <v>42</v>
      </c>
      <c r="I63" s="6" t="str">
        <f aca="false">LEFT(F63,3)</f>
        <v>422</v>
      </c>
      <c r="J63" s="6" t="str">
        <f aca="false">LEFT(F63,4)</f>
        <v>4227</v>
      </c>
      <c r="K63" s="7" t="s">
        <v>343</v>
      </c>
      <c r="L63" s="33" t="n">
        <v>0</v>
      </c>
      <c r="M63" s="8" t="n">
        <f aca="false">N63-L63</f>
        <v>2407.43</v>
      </c>
      <c r="N63" s="33" t="n">
        <v>2407.43</v>
      </c>
      <c r="O63" s="9" t="str">
        <f aca="false">IF(L63=0,"-",N63/L63*100)</f>
        <v>-</v>
      </c>
    </row>
    <row r="64" customFormat="false" ht="15" hidden="false" customHeight="false" outlineLevel="0" collapsed="false">
      <c r="A64" s="6" t="s">
        <v>406</v>
      </c>
      <c r="B64" s="6" t="s">
        <v>330</v>
      </c>
      <c r="C64" s="6" t="s">
        <v>259</v>
      </c>
      <c r="D64" s="6" t="s">
        <v>187</v>
      </c>
      <c r="E64" s="6" t="s">
        <v>226</v>
      </c>
      <c r="F64" s="6" t="s">
        <v>358</v>
      </c>
      <c r="G64" s="6" t="str">
        <f aca="false">LEFT(F64,1)</f>
        <v>4</v>
      </c>
      <c r="H64" s="6" t="str">
        <f aca="false">LEFT(F64,2)</f>
        <v>45</v>
      </c>
      <c r="I64" s="6" t="str">
        <f aca="false">LEFT(F64,3)</f>
        <v>451</v>
      </c>
      <c r="J64" s="6" t="str">
        <f aca="false">LEFT(F64,4)</f>
        <v>4511</v>
      </c>
      <c r="K64" s="7" t="s">
        <v>206</v>
      </c>
      <c r="L64" s="33" t="n">
        <v>11945</v>
      </c>
      <c r="M64" s="8" t="n">
        <f aca="false">N64-L64</f>
        <v>922.33</v>
      </c>
      <c r="N64" s="33" t="n">
        <v>12867.33</v>
      </c>
      <c r="O64" s="9" t="n">
        <f aca="false">IF(L64=0,"-",N64/L64*100)</f>
        <v>107.721473419841</v>
      </c>
    </row>
    <row r="65" customFormat="false" ht="15" hidden="false" customHeight="false" outlineLevel="0" collapsed="false">
      <c r="A65" s="6" t="s">
        <v>406</v>
      </c>
      <c r="B65" s="6" t="s">
        <v>330</v>
      </c>
      <c r="C65" s="6" t="s">
        <v>259</v>
      </c>
      <c r="D65" s="6" t="s">
        <v>230</v>
      </c>
      <c r="E65" s="6" t="s">
        <v>232</v>
      </c>
      <c r="F65" s="6" t="s">
        <v>279</v>
      </c>
      <c r="G65" s="6" t="str">
        <f aca="false">LEFT(F65,1)</f>
        <v>3</v>
      </c>
      <c r="H65" s="6" t="str">
        <f aca="false">LEFT(F65,2)</f>
        <v>32</v>
      </c>
      <c r="I65" s="6" t="str">
        <f aca="false">LEFT(F65,3)</f>
        <v>322</v>
      </c>
      <c r="J65" s="6" t="str">
        <f aca="false">LEFT(F65,4)</f>
        <v>3222</v>
      </c>
      <c r="K65" s="7" t="s">
        <v>280</v>
      </c>
      <c r="L65" s="33" t="n">
        <v>300</v>
      </c>
      <c r="M65" s="8" t="n">
        <f aca="false">N65-L65</f>
        <v>0</v>
      </c>
      <c r="N65" s="33" t="n">
        <v>300</v>
      </c>
      <c r="O65" s="9" t="n">
        <f aca="false">IF(L65=0,"-",N65/L65*100)</f>
        <v>100</v>
      </c>
    </row>
    <row r="66" customFormat="false" ht="15" hidden="false" customHeight="false" outlineLevel="0" collapsed="false">
      <c r="A66" s="6" t="s">
        <v>406</v>
      </c>
      <c r="B66" s="6" t="s">
        <v>330</v>
      </c>
      <c r="C66" s="6" t="s">
        <v>259</v>
      </c>
      <c r="D66" s="6" t="s">
        <v>230</v>
      </c>
      <c r="E66" s="6" t="s">
        <v>232</v>
      </c>
      <c r="F66" s="6" t="s">
        <v>361</v>
      </c>
      <c r="G66" s="6" t="str">
        <f aca="false">LEFT(F66,1)</f>
        <v>3</v>
      </c>
      <c r="H66" s="6" t="str">
        <f aca="false">LEFT(F66,2)</f>
        <v>32</v>
      </c>
      <c r="I66" s="6" t="str">
        <f aca="false">LEFT(F66,3)</f>
        <v>323</v>
      </c>
      <c r="J66" s="6" t="str">
        <f aca="false">LEFT(F66,4)</f>
        <v>3237</v>
      </c>
      <c r="K66" s="7" t="s">
        <v>362</v>
      </c>
      <c r="L66" s="33" t="n">
        <v>200</v>
      </c>
      <c r="M66" s="8" t="n">
        <f aca="false">N66-L66</f>
        <v>0</v>
      </c>
      <c r="N66" s="33" t="n">
        <v>200</v>
      </c>
      <c r="O66" s="9" t="n">
        <f aca="false">IF(L66=0,"-",N66/L66*100)</f>
        <v>100</v>
      </c>
    </row>
    <row r="67" customFormat="false" ht="15" hidden="false" customHeight="false" outlineLevel="0" collapsed="false">
      <c r="A67" s="6" t="s">
        <v>406</v>
      </c>
      <c r="B67" s="6" t="s">
        <v>330</v>
      </c>
      <c r="C67" s="6" t="s">
        <v>259</v>
      </c>
      <c r="D67" s="6" t="s">
        <v>230</v>
      </c>
      <c r="E67" s="6" t="s">
        <v>232</v>
      </c>
      <c r="F67" s="6" t="s">
        <v>363</v>
      </c>
      <c r="G67" s="6" t="str">
        <f aca="false">LEFT(F67,1)</f>
        <v>3</v>
      </c>
      <c r="H67" s="6" t="str">
        <f aca="false">LEFT(F67,2)</f>
        <v>37</v>
      </c>
      <c r="I67" s="6" t="str">
        <f aca="false">LEFT(F67,3)</f>
        <v>372</v>
      </c>
      <c r="J67" s="6" t="str">
        <f aca="false">LEFT(F67,4)</f>
        <v>3722</v>
      </c>
      <c r="K67" s="7" t="s">
        <v>364</v>
      </c>
      <c r="L67" s="33" t="n">
        <v>3000</v>
      </c>
      <c r="M67" s="8" t="n">
        <f aca="false">N67-L67</f>
        <v>0</v>
      </c>
      <c r="N67" s="33" t="n">
        <v>3000</v>
      </c>
      <c r="O67" s="9" t="n">
        <f aca="false">IF(L67=0,"-",N67/L67*100)</f>
        <v>100</v>
      </c>
    </row>
    <row r="68" customFormat="false" ht="15" hidden="false" customHeight="false" outlineLevel="0" collapsed="false">
      <c r="A68" s="6" t="s">
        <v>406</v>
      </c>
      <c r="B68" s="6" t="s">
        <v>330</v>
      </c>
      <c r="C68" s="6" t="s">
        <v>259</v>
      </c>
      <c r="D68" s="6" t="s">
        <v>230</v>
      </c>
      <c r="E68" s="6" t="s">
        <v>234</v>
      </c>
      <c r="F68" s="6" t="s">
        <v>367</v>
      </c>
      <c r="G68" s="6" t="str">
        <f aca="false">LEFT(F68,1)</f>
        <v>4</v>
      </c>
      <c r="H68" s="6" t="str">
        <f aca="false">LEFT(F68,2)</f>
        <v>42</v>
      </c>
      <c r="I68" s="6" t="str">
        <f aca="false">LEFT(F68,3)</f>
        <v>424</v>
      </c>
      <c r="J68" s="6" t="str">
        <f aca="false">LEFT(F68,4)</f>
        <v>4241</v>
      </c>
      <c r="K68" s="7" t="s">
        <v>368</v>
      </c>
      <c r="L68" s="33" t="n">
        <v>800</v>
      </c>
      <c r="M68" s="8" t="n">
        <f aca="false">N68-L68</f>
        <v>0</v>
      </c>
      <c r="N68" s="33" t="n">
        <v>800</v>
      </c>
      <c r="O68" s="9" t="n">
        <f aca="false">IF(L68=0,"-",N68/L68*100)</f>
        <v>100</v>
      </c>
    </row>
    <row r="69" customFormat="false" ht="15" hidden="false" customHeight="false" outlineLevel="0" collapsed="false">
      <c r="A69" s="6" t="s">
        <v>406</v>
      </c>
      <c r="B69" s="6" t="s">
        <v>330</v>
      </c>
      <c r="C69" s="6" t="s">
        <v>259</v>
      </c>
      <c r="D69" s="6" t="s">
        <v>244</v>
      </c>
      <c r="E69" s="6" t="s">
        <v>244</v>
      </c>
      <c r="F69" s="6" t="s">
        <v>316</v>
      </c>
      <c r="G69" s="6" t="str">
        <f aca="false">LEFT(F69,1)</f>
        <v>3</v>
      </c>
      <c r="H69" s="6" t="str">
        <f aca="false">LEFT(F69,2)</f>
        <v>31</v>
      </c>
      <c r="I69" s="6" t="str">
        <f aca="false">LEFT(F69,3)</f>
        <v>311</v>
      </c>
      <c r="J69" s="6" t="str">
        <f aca="false">LEFT(F69,4)</f>
        <v>3111</v>
      </c>
      <c r="K69" s="7" t="s">
        <v>105</v>
      </c>
      <c r="L69" s="33" t="n">
        <v>14156.27</v>
      </c>
      <c r="M69" s="8" t="n">
        <f aca="false">N69-L69</f>
        <v>2843.73</v>
      </c>
      <c r="N69" s="33" t="n">
        <v>17000</v>
      </c>
      <c r="O69" s="9" t="n">
        <f aca="false">IF(L69=0,"-",N69/L69*100)</f>
        <v>120.088130559816</v>
      </c>
    </row>
    <row r="70" customFormat="false" ht="15" hidden="false" customHeight="false" outlineLevel="0" collapsed="false">
      <c r="A70" s="6" t="s">
        <v>406</v>
      </c>
      <c r="B70" s="6" t="s">
        <v>330</v>
      </c>
      <c r="C70" s="6" t="s">
        <v>259</v>
      </c>
      <c r="D70" s="6" t="s">
        <v>244</v>
      </c>
      <c r="E70" s="6" t="s">
        <v>244</v>
      </c>
      <c r="F70" s="6" t="s">
        <v>317</v>
      </c>
      <c r="G70" s="6" t="str">
        <f aca="false">LEFT(F70,1)</f>
        <v>3</v>
      </c>
      <c r="H70" s="6" t="str">
        <f aca="false">LEFT(F70,2)</f>
        <v>31</v>
      </c>
      <c r="I70" s="6" t="str">
        <f aca="false">LEFT(F70,3)</f>
        <v>313</v>
      </c>
      <c r="J70" s="6" t="str">
        <f aca="false">LEFT(F70,4)</f>
        <v>3132</v>
      </c>
      <c r="K70" s="7" t="s">
        <v>318</v>
      </c>
      <c r="L70" s="33" t="n">
        <v>2450.2</v>
      </c>
      <c r="M70" s="8" t="n">
        <f aca="false">N70-L70</f>
        <v>369.8</v>
      </c>
      <c r="N70" s="33" t="n">
        <v>2820</v>
      </c>
      <c r="O70" s="9" t="n">
        <f aca="false">IF(L70=0,"-",N70/L70*100)</f>
        <v>115.092645498327</v>
      </c>
    </row>
    <row r="71" customFormat="false" ht="15" hidden="false" customHeight="false" outlineLevel="0" collapsed="false">
      <c r="A71" s="6" t="s">
        <v>406</v>
      </c>
      <c r="B71" s="6" t="s">
        <v>330</v>
      </c>
      <c r="C71" s="6" t="s">
        <v>259</v>
      </c>
      <c r="D71" s="6" t="s">
        <v>244</v>
      </c>
      <c r="E71" s="6" t="s">
        <v>244</v>
      </c>
      <c r="F71" s="6" t="s">
        <v>371</v>
      </c>
      <c r="G71" s="6" t="str">
        <f aca="false">LEFT(F71,1)</f>
        <v>3</v>
      </c>
      <c r="H71" s="6" t="str">
        <f aca="false">LEFT(F71,2)</f>
        <v>37</v>
      </c>
      <c r="I71" s="6" t="str">
        <f aca="false">LEFT(F71,3)</f>
        <v>372</v>
      </c>
      <c r="J71" s="6" t="str">
        <f aca="false">LEFT(F71,4)</f>
        <v>3722</v>
      </c>
      <c r="K71" s="7" t="s">
        <v>372</v>
      </c>
      <c r="L71" s="33" t="n">
        <v>41000</v>
      </c>
      <c r="M71" s="8" t="n">
        <f aca="false">N71-L71</f>
        <v>0</v>
      </c>
      <c r="N71" s="33" t="n">
        <v>41000</v>
      </c>
      <c r="O71" s="9" t="n">
        <f aca="false">IF(L71=0,"-",N71/L71*100)</f>
        <v>100</v>
      </c>
    </row>
    <row r="72" customFormat="false" ht="15" hidden="false" customHeight="false" outlineLevel="0" collapsed="false">
      <c r="A72" s="6" t="s">
        <v>406</v>
      </c>
      <c r="B72" s="6" t="s">
        <v>373</v>
      </c>
      <c r="C72" s="6" t="s">
        <v>261</v>
      </c>
      <c r="D72" s="6" t="s">
        <v>187</v>
      </c>
      <c r="E72" s="6" t="s">
        <v>226</v>
      </c>
      <c r="F72" s="6" t="s">
        <v>367</v>
      </c>
      <c r="G72" s="6" t="str">
        <f aca="false">LEFT(F72,1)</f>
        <v>4</v>
      </c>
      <c r="H72" s="6" t="str">
        <f aca="false">LEFT(F72,2)</f>
        <v>42</v>
      </c>
      <c r="I72" s="6" t="str">
        <f aca="false">LEFT(F72,3)</f>
        <v>424</v>
      </c>
      <c r="J72" s="6" t="str">
        <f aca="false">LEFT(F72,4)</f>
        <v>4241</v>
      </c>
      <c r="K72" s="7" t="s">
        <v>375</v>
      </c>
      <c r="L72" s="33" t="n">
        <v>0</v>
      </c>
      <c r="M72" s="8" t="n">
        <f aca="false">N72-L72</f>
        <v>31055.8</v>
      </c>
      <c r="N72" s="33" t="n">
        <v>31055.8</v>
      </c>
      <c r="O72" s="9" t="str">
        <f aca="false">IF(L72=0,"-",N72/L72*100)</f>
        <v>-</v>
      </c>
    </row>
    <row r="73" customFormat="false" ht="15" hidden="false" customHeight="false" outlineLevel="0" collapsed="false">
      <c r="A73" s="6" t="s">
        <v>406</v>
      </c>
      <c r="B73" s="6" t="s">
        <v>373</v>
      </c>
      <c r="C73" s="6" t="s">
        <v>261</v>
      </c>
      <c r="D73" s="6" t="s">
        <v>230</v>
      </c>
      <c r="E73" s="6" t="s">
        <v>234</v>
      </c>
      <c r="F73" s="6" t="s">
        <v>367</v>
      </c>
      <c r="G73" s="6" t="str">
        <f aca="false">LEFT(F73,1)</f>
        <v>4</v>
      </c>
      <c r="H73" s="6" t="str">
        <f aca="false">LEFT(F73,2)</f>
        <v>42</v>
      </c>
      <c r="I73" s="6" t="str">
        <f aca="false">LEFT(F73,3)</f>
        <v>424</v>
      </c>
      <c r="J73" s="6" t="str">
        <f aca="false">LEFT(F73,4)</f>
        <v>4241</v>
      </c>
      <c r="K73" s="7" t="s">
        <v>375</v>
      </c>
      <c r="L73" s="33" t="n">
        <v>31000</v>
      </c>
      <c r="M73" s="8" t="n">
        <f aca="false">N73-L73</f>
        <v>0</v>
      </c>
      <c r="N73" s="33" t="n">
        <v>31000</v>
      </c>
      <c r="O73" s="9" t="n">
        <f aca="false">IF(L73=0,"-",N73/L73*100)</f>
        <v>100</v>
      </c>
    </row>
    <row r="74" customFormat="false" ht="15" hidden="false" customHeight="false" outlineLevel="0" collapsed="false">
      <c r="A74" s="6" t="s">
        <v>406</v>
      </c>
      <c r="B74" s="6" t="s">
        <v>376</v>
      </c>
      <c r="C74" s="6" t="s">
        <v>259</v>
      </c>
      <c r="D74" s="6" t="s">
        <v>230</v>
      </c>
      <c r="E74" s="6" t="s">
        <v>240</v>
      </c>
      <c r="F74" s="6" t="s">
        <v>351</v>
      </c>
      <c r="G74" s="6" t="str">
        <f aca="false">LEFT(F74,1)</f>
        <v>3</v>
      </c>
      <c r="H74" s="6" t="str">
        <f aca="false">LEFT(F74,2)</f>
        <v>32</v>
      </c>
      <c r="I74" s="6" t="str">
        <f aca="false">LEFT(F74,3)</f>
        <v>322</v>
      </c>
      <c r="J74" s="6" t="str">
        <f aca="false">LEFT(F74,4)</f>
        <v>3222</v>
      </c>
      <c r="K74" s="7" t="s">
        <v>352</v>
      </c>
      <c r="L74" s="33" t="n">
        <v>100000</v>
      </c>
      <c r="M74" s="8" t="n">
        <f aca="false">N74-L74</f>
        <v>0</v>
      </c>
      <c r="N74" s="33" t="n">
        <v>100000</v>
      </c>
      <c r="O74" s="9" t="n">
        <f aca="false">IF(L74=0,"-",N74/L74*100)</f>
        <v>100</v>
      </c>
    </row>
    <row r="75" customFormat="false" ht="15" hidden="false" customHeight="false" outlineLevel="0" collapsed="false">
      <c r="A75" s="6" t="s">
        <v>406</v>
      </c>
      <c r="B75" s="6" t="s">
        <v>380</v>
      </c>
      <c r="C75" s="6" t="s">
        <v>259</v>
      </c>
      <c r="D75" s="6" t="s">
        <v>230</v>
      </c>
      <c r="E75" s="6" t="s">
        <v>242</v>
      </c>
      <c r="F75" s="6" t="s">
        <v>384</v>
      </c>
      <c r="G75" s="6" t="str">
        <f aca="false">LEFT(F75,1)</f>
        <v>3</v>
      </c>
      <c r="H75" s="6" t="str">
        <f aca="false">LEFT(F75,2)</f>
        <v>38</v>
      </c>
      <c r="I75" s="6" t="str">
        <f aca="false">LEFT(F75,3)</f>
        <v>381</v>
      </c>
      <c r="J75" s="6" t="str">
        <f aca="false">LEFT(F75,4)</f>
        <v>3812</v>
      </c>
      <c r="K75" s="7" t="s">
        <v>385</v>
      </c>
      <c r="L75" s="33" t="n">
        <v>1360</v>
      </c>
      <c r="M75" s="8" t="n">
        <f aca="false">N75-L75</f>
        <v>0</v>
      </c>
      <c r="N75" s="33" t="n">
        <v>1360</v>
      </c>
      <c r="O75" s="9" t="n">
        <f aca="false">IF(L75=0,"-",N75/L75*100)</f>
        <v>100</v>
      </c>
    </row>
    <row r="76" customFormat="false" ht="15" hidden="false" customHeight="false" outlineLevel="0" collapsed="false">
      <c r="A76" s="6" t="s">
        <v>407</v>
      </c>
      <c r="B76" s="6" t="s">
        <v>388</v>
      </c>
      <c r="C76" s="6" t="s">
        <v>259</v>
      </c>
      <c r="D76" s="6" t="s">
        <v>212</v>
      </c>
      <c r="E76" s="6" t="s">
        <v>214</v>
      </c>
      <c r="F76" s="6" t="s">
        <v>316</v>
      </c>
      <c r="G76" s="6" t="str">
        <f aca="false">LEFT(F76,1)</f>
        <v>3</v>
      </c>
      <c r="H76" s="6" t="str">
        <f aca="false">LEFT(F76,2)</f>
        <v>31</v>
      </c>
      <c r="I76" s="6" t="str">
        <f aca="false">LEFT(F76,3)</f>
        <v>311</v>
      </c>
      <c r="J76" s="6" t="str">
        <f aca="false">LEFT(F76,4)</f>
        <v>3111</v>
      </c>
      <c r="K76" s="7" t="s">
        <v>105</v>
      </c>
      <c r="L76" s="33" t="n">
        <v>18426.43</v>
      </c>
      <c r="M76" s="8" t="n">
        <f aca="false">N76-L76</f>
        <v>1573.57</v>
      </c>
      <c r="N76" s="33" t="n">
        <v>20000</v>
      </c>
      <c r="O76" s="9" t="n">
        <f aca="false">IF(L76=0,"-",N76/L76*100)</f>
        <v>108.539744269509</v>
      </c>
    </row>
    <row r="77" customFormat="false" ht="15" hidden="false" customHeight="false" outlineLevel="0" collapsed="false">
      <c r="A77" s="6" t="s">
        <v>407</v>
      </c>
      <c r="B77" s="6" t="s">
        <v>388</v>
      </c>
      <c r="C77" s="6" t="s">
        <v>259</v>
      </c>
      <c r="D77" s="6" t="s">
        <v>212</v>
      </c>
      <c r="E77" s="6" t="s">
        <v>214</v>
      </c>
      <c r="F77" s="6" t="s">
        <v>349</v>
      </c>
      <c r="G77" s="6" t="str">
        <f aca="false">LEFT(F77,1)</f>
        <v>3</v>
      </c>
      <c r="H77" s="6" t="str">
        <f aca="false">LEFT(F77,2)</f>
        <v>31</v>
      </c>
      <c r="I77" s="6" t="str">
        <f aca="false">LEFT(F77,3)</f>
        <v>312</v>
      </c>
      <c r="J77" s="6" t="str">
        <f aca="false">LEFT(F77,4)</f>
        <v>3121</v>
      </c>
      <c r="K77" s="7" t="s">
        <v>350</v>
      </c>
      <c r="L77" s="33" t="n">
        <v>10000</v>
      </c>
      <c r="M77" s="8" t="n">
        <f aca="false">N77-L77</f>
        <v>0</v>
      </c>
      <c r="N77" s="33" t="n">
        <v>10000</v>
      </c>
      <c r="O77" s="9" t="n">
        <f aca="false">IF(L77=0,"-",N77/L77*100)</f>
        <v>100</v>
      </c>
    </row>
    <row r="78" customFormat="false" ht="15" hidden="false" customHeight="false" outlineLevel="0" collapsed="false">
      <c r="A78" s="6" t="s">
        <v>407</v>
      </c>
      <c r="B78" s="6" t="s">
        <v>388</v>
      </c>
      <c r="C78" s="6" t="s">
        <v>259</v>
      </c>
      <c r="D78" s="6" t="s">
        <v>212</v>
      </c>
      <c r="E78" s="6" t="s">
        <v>214</v>
      </c>
      <c r="F78" s="6" t="s">
        <v>317</v>
      </c>
      <c r="G78" s="6" t="str">
        <f aca="false">LEFT(F78,1)</f>
        <v>3</v>
      </c>
      <c r="H78" s="6" t="str">
        <f aca="false">LEFT(F78,2)</f>
        <v>31</v>
      </c>
      <c r="I78" s="6" t="str">
        <f aca="false">LEFT(F78,3)</f>
        <v>313</v>
      </c>
      <c r="J78" s="6" t="str">
        <f aca="false">LEFT(F78,4)</f>
        <v>3132</v>
      </c>
      <c r="K78" s="7" t="s">
        <v>318</v>
      </c>
      <c r="L78" s="33" t="n">
        <v>7467.91</v>
      </c>
      <c r="M78" s="8" t="n">
        <f aca="false">N78-L78</f>
        <v>1532.09</v>
      </c>
      <c r="N78" s="33" t="n">
        <v>9000</v>
      </c>
      <c r="O78" s="9" t="n">
        <f aca="false">IF(L78=0,"-",N78/L78*100)</f>
        <v>120.515646278544</v>
      </c>
    </row>
    <row r="79" customFormat="false" ht="15" hidden="false" customHeight="false" outlineLevel="0" collapsed="false">
      <c r="A79" s="6" t="s">
        <v>407</v>
      </c>
      <c r="B79" s="6" t="s">
        <v>388</v>
      </c>
      <c r="C79" s="6" t="s">
        <v>259</v>
      </c>
      <c r="D79" s="6" t="s">
        <v>212</v>
      </c>
      <c r="E79" s="6" t="s">
        <v>214</v>
      </c>
      <c r="F79" s="6" t="s">
        <v>319</v>
      </c>
      <c r="G79" s="6" t="str">
        <f aca="false">LEFT(F79,1)</f>
        <v>3</v>
      </c>
      <c r="H79" s="6" t="str">
        <f aca="false">LEFT(F79,2)</f>
        <v>32</v>
      </c>
      <c r="I79" s="6" t="str">
        <f aca="false">LEFT(F79,3)</f>
        <v>321</v>
      </c>
      <c r="J79" s="6" t="str">
        <f aca="false">LEFT(F79,4)</f>
        <v>3212</v>
      </c>
      <c r="K79" s="7" t="s">
        <v>320</v>
      </c>
      <c r="L79" s="33" t="n">
        <v>4315.5</v>
      </c>
      <c r="M79" s="8" t="n">
        <f aca="false">N79-L79</f>
        <v>3684.5</v>
      </c>
      <c r="N79" s="33" t="n">
        <v>8000</v>
      </c>
      <c r="O79" s="9" t="n">
        <f aca="false">IF(L79=0,"-",N79/L79*100)</f>
        <v>185.378287568069</v>
      </c>
    </row>
    <row r="80" customFormat="false" ht="15" hidden="false" customHeight="false" outlineLevel="0" collapsed="false">
      <c r="A80" s="6" t="s">
        <v>407</v>
      </c>
      <c r="B80" s="6" t="s">
        <v>388</v>
      </c>
      <c r="C80" s="6" t="s">
        <v>259</v>
      </c>
      <c r="D80" s="6" t="s">
        <v>216</v>
      </c>
      <c r="E80" s="6" t="s">
        <v>218</v>
      </c>
      <c r="F80" s="6" t="s">
        <v>316</v>
      </c>
      <c r="G80" s="6" t="str">
        <f aca="false">LEFT(F80,1)</f>
        <v>3</v>
      </c>
      <c r="H80" s="6" t="str">
        <f aca="false">LEFT(F80,2)</f>
        <v>31</v>
      </c>
      <c r="I80" s="6" t="str">
        <f aca="false">LEFT(F80,3)</f>
        <v>311</v>
      </c>
      <c r="J80" s="6" t="str">
        <f aca="false">LEFT(F80,4)</f>
        <v>3111</v>
      </c>
      <c r="K80" s="7" t="s">
        <v>105</v>
      </c>
      <c r="L80" s="33" t="n">
        <v>18349.55</v>
      </c>
      <c r="M80" s="8" t="n">
        <f aca="false">N80-L80</f>
        <v>-18349.55</v>
      </c>
      <c r="N80" s="33" t="n">
        <v>0</v>
      </c>
      <c r="O80" s="9" t="n">
        <f aca="false">IF(L80=0,"-",N80/L80*100)</f>
        <v>0</v>
      </c>
    </row>
    <row r="81" customFormat="false" ht="15" hidden="false" customHeight="false" outlineLevel="0" collapsed="false">
      <c r="A81" s="6" t="s">
        <v>407</v>
      </c>
      <c r="B81" s="6" t="s">
        <v>388</v>
      </c>
      <c r="C81" s="6" t="s">
        <v>259</v>
      </c>
      <c r="D81" s="6" t="s">
        <v>230</v>
      </c>
      <c r="E81" s="6" t="s">
        <v>238</v>
      </c>
      <c r="F81" s="6" t="s">
        <v>316</v>
      </c>
      <c r="G81" s="6" t="str">
        <f aca="false">LEFT(F81,1)</f>
        <v>3</v>
      </c>
      <c r="H81" s="6" t="str">
        <f aca="false">LEFT(F81,2)</f>
        <v>31</v>
      </c>
      <c r="I81" s="6" t="str">
        <f aca="false">LEFT(F81,3)</f>
        <v>311</v>
      </c>
      <c r="J81" s="6" t="str">
        <f aca="false">LEFT(F81,4)</f>
        <v>3111</v>
      </c>
      <c r="K81" s="7" t="s">
        <v>105</v>
      </c>
      <c r="L81" s="33" t="n">
        <v>8481.88</v>
      </c>
      <c r="M81" s="8" t="n">
        <f aca="false">N81-L81</f>
        <v>0</v>
      </c>
      <c r="N81" s="33" t="n">
        <v>8481.88</v>
      </c>
      <c r="O81" s="9" t="n">
        <f aca="false">IF(L81=0,"-",N81/L81*100)</f>
        <v>100</v>
      </c>
    </row>
    <row r="82" customFormat="false" ht="15" hidden="false" customHeight="false" outlineLevel="0" collapsed="false">
      <c r="A82" s="6" t="s">
        <v>407</v>
      </c>
      <c r="B82" s="6" t="s">
        <v>388</v>
      </c>
      <c r="C82" s="6" t="s">
        <v>259</v>
      </c>
      <c r="D82" s="6" t="s">
        <v>230</v>
      </c>
      <c r="E82" s="6" t="s">
        <v>238</v>
      </c>
      <c r="F82" s="6" t="s">
        <v>317</v>
      </c>
      <c r="G82" s="6" t="str">
        <f aca="false">LEFT(F82,1)</f>
        <v>3</v>
      </c>
      <c r="H82" s="6" t="str">
        <f aca="false">LEFT(F82,2)</f>
        <v>31</v>
      </c>
      <c r="I82" s="6" t="str">
        <f aca="false">LEFT(F82,3)</f>
        <v>313</v>
      </c>
      <c r="J82" s="6" t="str">
        <f aca="false">LEFT(F82,4)</f>
        <v>3132</v>
      </c>
      <c r="K82" s="7" t="s">
        <v>318</v>
      </c>
      <c r="L82" s="33" t="n">
        <v>1263.43</v>
      </c>
      <c r="M82" s="8" t="n">
        <f aca="false">N82-L82</f>
        <v>5730.9</v>
      </c>
      <c r="N82" s="33" t="n">
        <v>6994.33</v>
      </c>
      <c r="O82" s="9" t="n">
        <f aca="false">IF(L82=0,"-",N82/L82*100)</f>
        <v>553.598537315087</v>
      </c>
    </row>
    <row r="83" customFormat="false" ht="15" hidden="false" customHeight="false" outlineLevel="0" collapsed="false">
      <c r="A83" s="6" t="s">
        <v>407</v>
      </c>
      <c r="B83" s="6" t="s">
        <v>388</v>
      </c>
      <c r="C83" s="6" t="s">
        <v>259</v>
      </c>
      <c r="D83" s="6" t="s">
        <v>247</v>
      </c>
      <c r="E83" s="6" t="s">
        <v>249</v>
      </c>
      <c r="F83" s="6" t="s">
        <v>316</v>
      </c>
      <c r="G83" s="6" t="str">
        <f aca="false">LEFT(F83,1)</f>
        <v>3</v>
      </c>
      <c r="H83" s="6" t="str">
        <f aca="false">LEFT(F83,2)</f>
        <v>31</v>
      </c>
      <c r="I83" s="6" t="str">
        <f aca="false">LEFT(F83,3)</f>
        <v>311</v>
      </c>
      <c r="J83" s="6" t="str">
        <f aca="false">LEFT(F83,4)</f>
        <v>3111</v>
      </c>
      <c r="K83" s="7" t="s">
        <v>105</v>
      </c>
      <c r="L83" s="33" t="n">
        <v>17399.64</v>
      </c>
      <c r="M83" s="8" t="n">
        <f aca="false">N83-L83</f>
        <v>0</v>
      </c>
      <c r="N83" s="33" t="n">
        <v>17399.64</v>
      </c>
      <c r="O83" s="9" t="n">
        <f aca="false">IF(L83=0,"-",N83/L83*100)</f>
        <v>100</v>
      </c>
    </row>
    <row r="84" customFormat="false" ht="15" hidden="false" customHeight="false" outlineLevel="0" collapsed="false">
      <c r="A84" s="6" t="s">
        <v>407</v>
      </c>
      <c r="B84" s="6" t="s">
        <v>388</v>
      </c>
      <c r="C84" s="6" t="s">
        <v>259</v>
      </c>
      <c r="D84" s="6" t="s">
        <v>247</v>
      </c>
      <c r="E84" s="6" t="s">
        <v>249</v>
      </c>
      <c r="F84" s="6" t="s">
        <v>349</v>
      </c>
      <c r="G84" s="6" t="str">
        <f aca="false">LEFT(F84,1)</f>
        <v>3</v>
      </c>
      <c r="H84" s="6" t="str">
        <f aca="false">LEFT(F84,2)</f>
        <v>31</v>
      </c>
      <c r="I84" s="6" t="str">
        <f aca="false">LEFT(F84,3)</f>
        <v>312</v>
      </c>
      <c r="J84" s="6" t="str">
        <f aca="false">LEFT(F84,4)</f>
        <v>3121</v>
      </c>
      <c r="K84" s="7" t="s">
        <v>350</v>
      </c>
      <c r="L84" s="33" t="n">
        <v>16605</v>
      </c>
      <c r="M84" s="8" t="n">
        <f aca="false">N84-L84</f>
        <v>0</v>
      </c>
      <c r="N84" s="33" t="n">
        <v>16605</v>
      </c>
      <c r="O84" s="9" t="n">
        <f aca="false">IF(L84=0,"-",N84/L84*100)</f>
        <v>100</v>
      </c>
    </row>
    <row r="85" customFormat="false" ht="15" hidden="false" customHeight="false" outlineLevel="0" collapsed="false">
      <c r="A85" s="6" t="s">
        <v>407</v>
      </c>
      <c r="B85" s="6" t="s">
        <v>388</v>
      </c>
      <c r="C85" s="6" t="s">
        <v>259</v>
      </c>
      <c r="D85" s="6" t="s">
        <v>247</v>
      </c>
      <c r="E85" s="6" t="s">
        <v>249</v>
      </c>
      <c r="F85" s="6" t="s">
        <v>317</v>
      </c>
      <c r="G85" s="6" t="str">
        <f aca="false">LEFT(F85,1)</f>
        <v>3</v>
      </c>
      <c r="H85" s="6" t="str">
        <f aca="false">LEFT(F85,2)</f>
        <v>31</v>
      </c>
      <c r="I85" s="6" t="str">
        <f aca="false">LEFT(F85,3)</f>
        <v>313</v>
      </c>
      <c r="J85" s="6" t="str">
        <f aca="false">LEFT(F85,4)</f>
        <v>3132</v>
      </c>
      <c r="K85" s="7" t="s">
        <v>318</v>
      </c>
      <c r="L85" s="33" t="n">
        <v>1607.52</v>
      </c>
      <c r="M85" s="8" t="n">
        <f aca="false">N85-L85</f>
        <v>0</v>
      </c>
      <c r="N85" s="33" t="n">
        <v>1607.52</v>
      </c>
      <c r="O85" s="9" t="n">
        <f aca="false">IF(L85=0,"-",N85/L85*100)</f>
        <v>100</v>
      </c>
    </row>
    <row r="86" customFormat="false" ht="15" hidden="false" customHeight="false" outlineLevel="0" collapsed="false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20" t="s">
        <v>208</v>
      </c>
      <c r="L86" s="21" t="n">
        <f aca="false">SUM(L10:L85)</f>
        <v>2927619.56</v>
      </c>
      <c r="M86" s="21" t="n">
        <f aca="false">SUM(M10:M85)</f>
        <v>361810.42</v>
      </c>
      <c r="N86" s="21" t="n">
        <f aca="false">SUM(N10:N85)</f>
        <v>3289429.98</v>
      </c>
      <c r="O86" s="22" t="n">
        <f aca="false">IF(L86=0,"-",N86/L86*100)</f>
        <v>112.358519014677</v>
      </c>
    </row>
  </sheetData>
  <mergeCells count="2">
    <mergeCell ref="A6:O6"/>
    <mergeCell ref="A7:O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M2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9" ySplit="9" topLeftCell="J10" activePane="bottomRight" state="frozen"/>
      <selection pane="topLeft" activeCell="A1" activeCellId="0" sqref="A1"/>
      <selection pane="topRight" activeCell="J1" activeCellId="0" sqref="J1"/>
      <selection pane="bottomLeft" activeCell="A10" activeCellId="0" sqref="A10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3" min="2" style="0" width="6"/>
    <col collapsed="false" customWidth="true" hidden="false" outlineLevel="0" max="6" min="4" style="0" width="8"/>
    <col collapsed="false" customWidth="true" hidden="false" outlineLevel="0" max="7" min="7" style="0" width="9"/>
    <col collapsed="false" customWidth="true" hidden="false" outlineLevel="0" max="8" min="8" style="0" width="30"/>
    <col collapsed="false" customWidth="true" hidden="false" outlineLevel="0" max="9" min="9" style="0" width="44"/>
    <col collapsed="false" customWidth="true" hidden="false" outlineLevel="0" max="13" min="10" style="0" width="15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408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customFormat="false" ht="15" hidden="false" customHeight="false" outlineLevel="0" collapsed="false">
      <c r="A7" s="4" t="s">
        <v>409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9" customFormat="false" ht="30" hidden="false" customHeight="true" outlineLevel="0" collapsed="false">
      <c r="A9" s="5" t="s">
        <v>410</v>
      </c>
      <c r="B9" s="5" t="s">
        <v>401</v>
      </c>
      <c r="C9" s="5" t="s">
        <v>402</v>
      </c>
      <c r="D9" s="5" t="s">
        <v>403</v>
      </c>
      <c r="E9" s="5" t="s">
        <v>404</v>
      </c>
      <c r="F9" s="5" t="s">
        <v>400</v>
      </c>
      <c r="G9" s="5" t="s">
        <v>210</v>
      </c>
      <c r="H9" s="5" t="s">
        <v>411</v>
      </c>
      <c r="I9" s="5" t="s">
        <v>7</v>
      </c>
      <c r="J9" s="5" t="s">
        <v>8</v>
      </c>
      <c r="K9" s="5" t="s">
        <v>9</v>
      </c>
      <c r="L9" s="5" t="s">
        <v>10</v>
      </c>
      <c r="M9" s="5" t="s">
        <v>11</v>
      </c>
    </row>
    <row r="10" customFormat="false" ht="15" hidden="false" customHeight="false" outlineLevel="0" collapsed="false">
      <c r="A10" s="6" t="s">
        <v>412</v>
      </c>
      <c r="B10" s="6" t="str">
        <f aca="false">LEFT(A10,1)</f>
        <v>6</v>
      </c>
      <c r="C10" s="6" t="str">
        <f aca="false">LEFT(A10,2)</f>
        <v>63</v>
      </c>
      <c r="D10" s="6" t="str">
        <f aca="false">LEFT(A10,3)</f>
        <v>633</v>
      </c>
      <c r="E10" s="6" t="str">
        <f aca="false">LEFT(A10,4)</f>
        <v>6331</v>
      </c>
      <c r="F10" s="6" t="s">
        <v>230</v>
      </c>
      <c r="G10" s="6" t="s">
        <v>238</v>
      </c>
      <c r="H10" s="6" t="s">
        <v>393</v>
      </c>
      <c r="I10" s="7" t="s">
        <v>413</v>
      </c>
      <c r="J10" s="33" t="n">
        <v>9745.31</v>
      </c>
      <c r="K10" s="8" t="n">
        <f aca="false">L10-J10</f>
        <v>-9745.31</v>
      </c>
      <c r="L10" s="33" t="n">
        <v>0</v>
      </c>
      <c r="M10" s="9" t="n">
        <f aca="false">IF(J10=0,"-",L10/J10*100)</f>
        <v>0</v>
      </c>
    </row>
    <row r="11" customFormat="false" ht="15" hidden="false" customHeight="false" outlineLevel="0" collapsed="false">
      <c r="A11" s="6" t="s">
        <v>414</v>
      </c>
      <c r="B11" s="6" t="str">
        <f aca="false">LEFT(A11,1)</f>
        <v>6</v>
      </c>
      <c r="C11" s="6" t="str">
        <f aca="false">LEFT(A11,2)</f>
        <v>63</v>
      </c>
      <c r="D11" s="6" t="str">
        <f aca="false">LEFT(A11,3)</f>
        <v>636</v>
      </c>
      <c r="E11" s="6" t="str">
        <f aca="false">LEFT(A11,4)</f>
        <v>6361</v>
      </c>
      <c r="F11" s="6" t="s">
        <v>230</v>
      </c>
      <c r="G11" s="6" t="s">
        <v>232</v>
      </c>
      <c r="H11" s="6" t="s">
        <v>360</v>
      </c>
      <c r="I11" s="7" t="s">
        <v>415</v>
      </c>
      <c r="J11" s="33" t="n">
        <v>3500</v>
      </c>
      <c r="K11" s="8" t="n">
        <f aca="false">L11-J11</f>
        <v>0</v>
      </c>
      <c r="L11" s="33" t="n">
        <v>3500</v>
      </c>
      <c r="M11" s="9" t="n">
        <f aca="false">IF(J11=0,"-",L11/J11*100)</f>
        <v>100</v>
      </c>
    </row>
    <row r="12" customFormat="false" ht="15" hidden="false" customHeight="false" outlineLevel="0" collapsed="false">
      <c r="A12" s="6" t="s">
        <v>416</v>
      </c>
      <c r="B12" s="6" t="str">
        <f aca="false">LEFT(A12,1)</f>
        <v>6</v>
      </c>
      <c r="C12" s="6" t="str">
        <f aca="false">LEFT(A12,2)</f>
        <v>63</v>
      </c>
      <c r="D12" s="6" t="str">
        <f aca="false">LEFT(A12,3)</f>
        <v>636</v>
      </c>
      <c r="E12" s="6" t="str">
        <f aca="false">LEFT(A12,4)</f>
        <v>6361</v>
      </c>
      <c r="F12" s="6" t="s">
        <v>230</v>
      </c>
      <c r="G12" s="6" t="s">
        <v>236</v>
      </c>
      <c r="H12" s="6" t="s">
        <v>315</v>
      </c>
      <c r="I12" s="7" t="s">
        <v>417</v>
      </c>
      <c r="J12" s="33" t="n">
        <v>2109879.17</v>
      </c>
      <c r="K12" s="8" t="n">
        <f aca="false">L12-J12</f>
        <v>370270.83</v>
      </c>
      <c r="L12" s="33" t="n">
        <v>2480150</v>
      </c>
      <c r="M12" s="9" t="n">
        <f aca="false">IF(J12=0,"-",L12/J12*100)</f>
        <v>117.549385541353</v>
      </c>
    </row>
    <row r="13" customFormat="false" ht="15" hidden="false" customHeight="false" outlineLevel="0" collapsed="false">
      <c r="A13" s="6" t="s">
        <v>418</v>
      </c>
      <c r="B13" s="6" t="str">
        <f aca="false">LEFT(A13,1)</f>
        <v>6</v>
      </c>
      <c r="C13" s="6" t="str">
        <f aca="false">LEFT(A13,2)</f>
        <v>63</v>
      </c>
      <c r="D13" s="6" t="str">
        <f aca="false">LEFT(A13,3)</f>
        <v>636</v>
      </c>
      <c r="E13" s="6" t="str">
        <f aca="false">LEFT(A13,4)</f>
        <v>6361</v>
      </c>
      <c r="F13" s="6" t="s">
        <v>230</v>
      </c>
      <c r="G13" s="6" t="s">
        <v>240</v>
      </c>
      <c r="H13" s="6" t="s">
        <v>379</v>
      </c>
      <c r="I13" s="7" t="s">
        <v>379</v>
      </c>
      <c r="J13" s="33" t="n">
        <v>100000</v>
      </c>
      <c r="K13" s="8" t="n">
        <f aca="false">L13-J13</f>
        <v>0</v>
      </c>
      <c r="L13" s="33" t="n">
        <v>100000</v>
      </c>
      <c r="M13" s="9" t="n">
        <f aca="false">IF(J13=0,"-",L13/J13*100)</f>
        <v>100</v>
      </c>
    </row>
    <row r="14" customFormat="false" ht="15" hidden="false" customHeight="false" outlineLevel="0" collapsed="false">
      <c r="A14" s="6" t="s">
        <v>419</v>
      </c>
      <c r="B14" s="6" t="str">
        <f aca="false">LEFT(A14,1)</f>
        <v>6</v>
      </c>
      <c r="C14" s="6" t="str">
        <f aca="false">LEFT(A14,2)</f>
        <v>63</v>
      </c>
      <c r="D14" s="6" t="str">
        <f aca="false">LEFT(A14,3)</f>
        <v>636</v>
      </c>
      <c r="E14" s="6" t="str">
        <f aca="false">LEFT(A14,4)</f>
        <v>6361</v>
      </c>
      <c r="F14" s="6" t="s">
        <v>230</v>
      </c>
      <c r="G14" s="6" t="s">
        <v>242</v>
      </c>
      <c r="H14" s="6" t="s">
        <v>383</v>
      </c>
      <c r="I14" s="7" t="s">
        <v>420</v>
      </c>
      <c r="J14" s="33" t="n">
        <v>1360</v>
      </c>
      <c r="K14" s="8" t="n">
        <f aca="false">L14-J14</f>
        <v>0</v>
      </c>
      <c r="L14" s="33" t="n">
        <v>1360</v>
      </c>
      <c r="M14" s="9" t="n">
        <f aca="false">IF(J14=0,"-",L14/J14*100)</f>
        <v>100</v>
      </c>
    </row>
    <row r="15" customFormat="false" ht="15" hidden="false" customHeight="false" outlineLevel="0" collapsed="false">
      <c r="A15" s="6" t="s">
        <v>421</v>
      </c>
      <c r="B15" s="6" t="str">
        <f aca="false">LEFT(A15,1)</f>
        <v>6</v>
      </c>
      <c r="C15" s="6" t="str">
        <f aca="false">LEFT(A15,2)</f>
        <v>63</v>
      </c>
      <c r="D15" s="6" t="str">
        <f aca="false">LEFT(A15,3)</f>
        <v>636</v>
      </c>
      <c r="E15" s="6" t="str">
        <f aca="false">LEFT(A15,4)</f>
        <v>6361</v>
      </c>
      <c r="F15" s="6" t="s">
        <v>244</v>
      </c>
      <c r="G15" s="6" t="s">
        <v>244</v>
      </c>
      <c r="H15" s="6" t="s">
        <v>370</v>
      </c>
      <c r="I15" s="7" t="s">
        <v>422</v>
      </c>
      <c r="J15" s="33" t="n">
        <v>57606.47</v>
      </c>
      <c r="K15" s="8" t="n">
        <f aca="false">L15-J15</f>
        <v>3213.53</v>
      </c>
      <c r="L15" s="33" t="n">
        <v>60820</v>
      </c>
      <c r="M15" s="9" t="n">
        <f aca="false">IF(J15=0,"-",L15/J15*100)</f>
        <v>105.578418535279</v>
      </c>
    </row>
    <row r="16" customFormat="false" ht="15" hidden="false" customHeight="false" outlineLevel="0" collapsed="false">
      <c r="A16" s="6" t="s">
        <v>423</v>
      </c>
      <c r="B16" s="6" t="str">
        <f aca="false">LEFT(A16,1)</f>
        <v>6</v>
      </c>
      <c r="C16" s="6" t="str">
        <f aca="false">LEFT(A16,2)</f>
        <v>63</v>
      </c>
      <c r="D16" s="6" t="str">
        <f aca="false">LEFT(A16,3)</f>
        <v>636</v>
      </c>
      <c r="E16" s="6" t="str">
        <f aca="false">LEFT(A16,4)</f>
        <v>6362</v>
      </c>
      <c r="F16" s="6" t="s">
        <v>230</v>
      </c>
      <c r="G16" s="6" t="s">
        <v>234</v>
      </c>
      <c r="H16" s="6" t="s">
        <v>366</v>
      </c>
      <c r="I16" s="7" t="s">
        <v>424</v>
      </c>
      <c r="J16" s="33" t="n">
        <v>31800</v>
      </c>
      <c r="K16" s="8" t="n">
        <f aca="false">L16-J16</f>
        <v>0</v>
      </c>
      <c r="L16" s="33" t="n">
        <v>31800</v>
      </c>
      <c r="M16" s="9" t="n">
        <f aca="false">IF(J16=0,"-",L16/J16*100)</f>
        <v>100</v>
      </c>
    </row>
    <row r="17" customFormat="false" ht="15" hidden="false" customHeight="false" outlineLevel="0" collapsed="false">
      <c r="A17" s="6" t="s">
        <v>425</v>
      </c>
      <c r="B17" s="6" t="str">
        <f aca="false">LEFT(A17,1)</f>
        <v>6</v>
      </c>
      <c r="C17" s="6" t="str">
        <f aca="false">LEFT(A17,2)</f>
        <v>63</v>
      </c>
      <c r="D17" s="6" t="str">
        <f aca="false">LEFT(A17,3)</f>
        <v>638</v>
      </c>
      <c r="E17" s="6" t="str">
        <f aca="false">LEFT(A17,4)</f>
        <v>6381</v>
      </c>
      <c r="F17" s="6" t="s">
        <v>247</v>
      </c>
      <c r="G17" s="6" t="s">
        <v>249</v>
      </c>
      <c r="H17" s="6" t="s">
        <v>395</v>
      </c>
      <c r="I17" s="7" t="s">
        <v>426</v>
      </c>
      <c r="J17" s="33" t="n">
        <v>35612.16</v>
      </c>
      <c r="K17" s="8" t="n">
        <f aca="false">L17-J17</f>
        <v>-35612.16</v>
      </c>
      <c r="L17" s="33" t="n">
        <v>0</v>
      </c>
      <c r="M17" s="9" t="n">
        <f aca="false">IF(J17=0,"-",L17/J17*100)</f>
        <v>0</v>
      </c>
    </row>
    <row r="18" customFormat="false" ht="15" hidden="false" customHeight="false" outlineLevel="0" collapsed="false">
      <c r="A18" s="6" t="s">
        <v>427</v>
      </c>
      <c r="B18" s="6" t="str">
        <f aca="false">LEFT(A18,1)</f>
        <v>6</v>
      </c>
      <c r="C18" s="6" t="str">
        <f aca="false">LEFT(A18,2)</f>
        <v>63</v>
      </c>
      <c r="D18" s="6" t="str">
        <f aca="false">LEFT(A18,3)</f>
        <v>639</v>
      </c>
      <c r="E18" s="6" t="str">
        <f aca="false">LEFT(A18,4)</f>
        <v>6391</v>
      </c>
      <c r="F18" s="6" t="s">
        <v>230</v>
      </c>
      <c r="G18" s="6" t="s">
        <v>238</v>
      </c>
      <c r="H18" s="6" t="s">
        <v>393</v>
      </c>
      <c r="I18" s="7" t="s">
        <v>428</v>
      </c>
      <c r="J18" s="33" t="n">
        <v>0</v>
      </c>
      <c r="K18" s="8" t="n">
        <f aca="false">L18-J18</f>
        <v>15476.21</v>
      </c>
      <c r="L18" s="33" t="n">
        <v>15476.21</v>
      </c>
      <c r="M18" s="9" t="str">
        <f aca="false">IF(J18=0,"-",L18/J18*100)</f>
        <v>-</v>
      </c>
    </row>
    <row r="19" customFormat="false" ht="23.85" hidden="false" customHeight="false" outlineLevel="0" collapsed="false">
      <c r="A19" s="6" t="s">
        <v>429</v>
      </c>
      <c r="B19" s="6" t="str">
        <f aca="false">LEFT(A19,1)</f>
        <v>6</v>
      </c>
      <c r="C19" s="6" t="str">
        <f aca="false">LEFT(A19,2)</f>
        <v>63</v>
      </c>
      <c r="D19" s="6" t="str">
        <f aca="false">LEFT(A19,3)</f>
        <v>639</v>
      </c>
      <c r="E19" s="6" t="str">
        <f aca="false">LEFT(A19,4)</f>
        <v>6393</v>
      </c>
      <c r="F19" s="6" t="s">
        <v>247</v>
      </c>
      <c r="G19" s="6" t="s">
        <v>249</v>
      </c>
      <c r="H19" s="6" t="s">
        <v>395</v>
      </c>
      <c r="I19" s="7" t="s">
        <v>430</v>
      </c>
      <c r="J19" s="33" t="n">
        <v>0</v>
      </c>
      <c r="K19" s="8" t="n">
        <f aca="false">L19-J19</f>
        <v>35612.16</v>
      </c>
      <c r="L19" s="33" t="n">
        <v>35612.16</v>
      </c>
      <c r="M19" s="9" t="str">
        <f aca="false">IF(J19=0,"-",L19/J19*100)</f>
        <v>-</v>
      </c>
    </row>
    <row r="20" customFormat="false" ht="15" hidden="false" customHeight="false" outlineLevel="0" collapsed="false">
      <c r="A20" s="6" t="s">
        <v>431</v>
      </c>
      <c r="B20" s="6" t="str">
        <f aca="false">LEFT(A20,1)</f>
        <v>6</v>
      </c>
      <c r="C20" s="6" t="str">
        <f aca="false">LEFT(A20,2)</f>
        <v>65</v>
      </c>
      <c r="D20" s="6" t="str">
        <f aca="false">LEFT(A20,3)</f>
        <v>652</v>
      </c>
      <c r="E20" s="6" t="str">
        <f aca="false">LEFT(A20,4)</f>
        <v>6526</v>
      </c>
      <c r="F20" s="6" t="s">
        <v>222</v>
      </c>
      <c r="G20" s="6" t="s">
        <v>222</v>
      </c>
      <c r="H20" s="6" t="s">
        <v>223</v>
      </c>
      <c r="I20" s="7" t="s">
        <v>432</v>
      </c>
      <c r="J20" s="33" t="n">
        <v>11100</v>
      </c>
      <c r="K20" s="8" t="n">
        <f aca="false">L20-J20</f>
        <v>6550</v>
      </c>
      <c r="L20" s="33" t="n">
        <v>17650</v>
      </c>
      <c r="M20" s="9" t="n">
        <f aca="false">IF(J20=0,"-",L20/J20*100)</f>
        <v>159.009009009009</v>
      </c>
    </row>
    <row r="21" customFormat="false" ht="15" hidden="false" customHeight="false" outlineLevel="0" collapsed="false">
      <c r="A21" s="6" t="s">
        <v>433</v>
      </c>
      <c r="B21" s="6" t="str">
        <f aca="false">LEFT(A21,1)</f>
        <v>6</v>
      </c>
      <c r="C21" s="6" t="str">
        <f aca="false">LEFT(A21,2)</f>
        <v>66</v>
      </c>
      <c r="D21" s="6" t="str">
        <f aca="false">LEFT(A21,3)</f>
        <v>661</v>
      </c>
      <c r="E21" s="6" t="str">
        <f aca="false">LEFT(A21,4)</f>
        <v>6615</v>
      </c>
      <c r="F21" s="6" t="s">
        <v>100</v>
      </c>
      <c r="G21" s="6" t="s">
        <v>100</v>
      </c>
      <c r="H21" s="6" t="s">
        <v>333</v>
      </c>
      <c r="I21" s="7" t="s">
        <v>434</v>
      </c>
      <c r="J21" s="33" t="n">
        <v>21748.07</v>
      </c>
      <c r="K21" s="8" t="n">
        <f aca="false">L21-J21</f>
        <v>-200</v>
      </c>
      <c r="L21" s="33" t="n">
        <v>21548.07</v>
      </c>
      <c r="M21" s="9" t="n">
        <f aca="false">IF(J21=0,"-",L21/J21*100)</f>
        <v>99.0803781668902</v>
      </c>
    </row>
    <row r="22" customFormat="false" ht="23.85" hidden="false" customHeight="false" outlineLevel="0" collapsed="false">
      <c r="A22" s="6" t="s">
        <v>435</v>
      </c>
      <c r="B22" s="6" t="str">
        <f aca="false">LEFT(A22,1)</f>
        <v>6</v>
      </c>
      <c r="C22" s="6" t="str">
        <f aca="false">LEFT(A22,2)</f>
        <v>67</v>
      </c>
      <c r="D22" s="6" t="str">
        <f aca="false">LEFT(A22,3)</f>
        <v>671</v>
      </c>
      <c r="E22" s="6" t="str">
        <f aca="false">LEFT(A22,4)</f>
        <v>6711</v>
      </c>
      <c r="F22" s="6" t="s">
        <v>203</v>
      </c>
      <c r="G22" s="6" t="s">
        <v>205</v>
      </c>
      <c r="H22" s="6" t="s">
        <v>271</v>
      </c>
      <c r="I22" s="7" t="s">
        <v>436</v>
      </c>
      <c r="J22" s="33" t="n">
        <v>450313.98</v>
      </c>
      <c r="K22" s="8" t="n">
        <f aca="false">L22-J22</f>
        <v>-45152.98</v>
      </c>
      <c r="L22" s="33" t="n">
        <v>405161</v>
      </c>
      <c r="M22" s="9" t="n">
        <f aca="false">IF(J22=0,"-",L22/J22*100)</f>
        <v>89.9730006161479</v>
      </c>
    </row>
    <row r="23" customFormat="false" ht="15" hidden="false" customHeight="false" outlineLevel="0" collapsed="false">
      <c r="A23" s="6" t="s">
        <v>437</v>
      </c>
      <c r="B23" s="6" t="str">
        <f aca="false">LEFT(A23,1)</f>
        <v>6</v>
      </c>
      <c r="C23" s="6" t="str">
        <f aca="false">LEFT(A23,2)</f>
        <v>67</v>
      </c>
      <c r="D23" s="6" t="str">
        <f aca="false">LEFT(A23,3)</f>
        <v>671</v>
      </c>
      <c r="E23" s="6" t="str">
        <f aca="false">LEFT(A23,4)</f>
        <v>6711</v>
      </c>
      <c r="F23" s="6" t="s">
        <v>212</v>
      </c>
      <c r="G23" s="6" t="s">
        <v>214</v>
      </c>
      <c r="H23" s="6" t="s">
        <v>328</v>
      </c>
      <c r="I23" s="7" t="s">
        <v>438</v>
      </c>
      <c r="J23" s="33" t="n">
        <v>55479.85</v>
      </c>
      <c r="K23" s="8" t="n">
        <f aca="false">L23-J23</f>
        <v>6790.16</v>
      </c>
      <c r="L23" s="33" t="n">
        <v>62270.01</v>
      </c>
      <c r="M23" s="9" t="n">
        <f aca="false">IF(J23=0,"-",L23/J23*100)</f>
        <v>112.238966039021</v>
      </c>
    </row>
    <row r="24" customFormat="false" ht="15" hidden="false" customHeight="false" outlineLevel="0" collapsed="false">
      <c r="A24" s="6" t="s">
        <v>437</v>
      </c>
      <c r="B24" s="6" t="str">
        <f aca="false">LEFT(A24,1)</f>
        <v>6</v>
      </c>
      <c r="C24" s="6" t="str">
        <f aca="false">LEFT(A24,2)</f>
        <v>67</v>
      </c>
      <c r="D24" s="6" t="str">
        <f aca="false">LEFT(A24,3)</f>
        <v>671</v>
      </c>
      <c r="E24" s="6" t="str">
        <f aca="false">LEFT(A24,4)</f>
        <v>6711</v>
      </c>
      <c r="F24" s="6" t="s">
        <v>216</v>
      </c>
      <c r="G24" s="6" t="s">
        <v>218</v>
      </c>
      <c r="H24" s="6" t="s">
        <v>391</v>
      </c>
      <c r="I24" s="7" t="s">
        <v>439</v>
      </c>
      <c r="J24" s="33" t="n">
        <v>18349.55</v>
      </c>
      <c r="K24" s="8" t="n">
        <f aca="false">L24-J24</f>
        <v>-18349.55</v>
      </c>
      <c r="L24" s="33" t="n">
        <v>0</v>
      </c>
      <c r="M24" s="9" t="n">
        <f aca="false">IF(J24=0,"-",L24/J24*100)</f>
        <v>0</v>
      </c>
    </row>
    <row r="25" customFormat="false" ht="15" hidden="false" customHeight="false" outlineLevel="0" collapsed="false">
      <c r="A25" s="6" t="s">
        <v>440</v>
      </c>
      <c r="B25" s="6" t="str">
        <f aca="false">LEFT(A25,1)</f>
        <v>9</v>
      </c>
      <c r="C25" s="6" t="str">
        <f aca="false">LEFT(A25,2)</f>
        <v>92</v>
      </c>
      <c r="D25" s="6" t="str">
        <f aca="false">LEFT(A25,3)</f>
        <v>922</v>
      </c>
      <c r="E25" s="6" t="str">
        <f aca="false">LEFT(A25,4)</f>
        <v>9221</v>
      </c>
      <c r="F25" s="6" t="s">
        <v>187</v>
      </c>
      <c r="G25" s="6" t="s">
        <v>226</v>
      </c>
      <c r="H25" s="6" t="s">
        <v>354</v>
      </c>
      <c r="I25" s="7" t="s">
        <v>225</v>
      </c>
      <c r="J25" s="33" t="n">
        <v>21125</v>
      </c>
      <c r="K25" s="8" t="n">
        <f aca="false">L25-J25</f>
        <v>32957.53</v>
      </c>
      <c r="L25" s="33" t="n">
        <v>54082.53</v>
      </c>
      <c r="M25" s="9" t="n">
        <f aca="false">IF(J25=0,"-",L25/J25*100)</f>
        <v>256.011976331361</v>
      </c>
    </row>
    <row r="26" customFormat="false" ht="15" hidden="false" customHeight="false" outlineLevel="0" collapsed="false">
      <c r="A26" s="19"/>
      <c r="B26" s="19"/>
      <c r="C26" s="19"/>
      <c r="D26" s="19"/>
      <c r="E26" s="19"/>
      <c r="F26" s="19"/>
      <c r="G26" s="19"/>
      <c r="H26" s="19"/>
      <c r="I26" s="20" t="s">
        <v>251</v>
      </c>
      <c r="J26" s="21" t="n">
        <f aca="false">SUM(J10:J25)</f>
        <v>2927619.56</v>
      </c>
      <c r="K26" s="21" t="n">
        <f aca="false">SUM(K10:K25)</f>
        <v>361810.42</v>
      </c>
      <c r="L26" s="21" t="n">
        <f aca="false">SUM(L10:L25)</f>
        <v>3289429.98</v>
      </c>
      <c r="M26" s="22" t="n">
        <f aca="false">IF(J26=0,"-",L26/J26*100)</f>
        <v>112.358519014677</v>
      </c>
    </row>
  </sheetData>
  <mergeCells count="2">
    <mergeCell ref="A6:M6"/>
    <mergeCell ref="A7:M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2026-10-27T14:25:00Z</dcterms:created>
  <dc:creator>openpyxl</dc:creator>
  <dc:description/>
  <dc:language>en-US</dc:language>
  <cp:lastModifiedBy/>
  <dcterms:modified xsi:type="dcterms:W3CDTF">2026-10-27T14:25:00Z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