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azetak" sheetId="1" state="visible" r:id="rId3"/>
    <sheet name="Prihodi_ekonomska" sheetId="2" state="visible" r:id="rId4"/>
    <sheet name="Rashodi_ekonomska" sheetId="3" state="visible" r:id="rId5"/>
    <sheet name="Po_izvorima" sheetId="4" state="visible" r:id="rId6"/>
    <sheet name="Rashodi_funkcijska" sheetId="5" state="visible" r:id="rId7"/>
    <sheet name="Posebni_dio" sheetId="6" state="visible" r:id="rId8"/>
    <sheet name="Rashodi_detalji" sheetId="7" state="visible" r:id="rId9"/>
    <sheet name="Prihodi_detalji" sheetId="8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<sst xmlns="http://schemas.openxmlformats.org/spreadsheetml/2006/main" count="1290" uniqueCount="422">
  <si>
    <t xml:space="preserve">REPUBLIKA HRVATSKA</t>
  </si>
  <si>
    <t xml:space="preserve">ZADARSKA ŽUPANIJA</t>
  </si>
  <si>
    <t xml:space="preserve">OSNOVNA ŠKOLA BENKOVAC, Antuna Mihanovića 21b, 23420 Benkovac</t>
  </si>
  <si>
    <t xml:space="preserve">OIB: 73294343358 · RKP: 21238</t>
  </si>
  <si>
    <t xml:space="preserve">SAŽETAK FINANCIJSKOG PLANA OŠ BENKOVAC ZA 2025. GODINU I PROJEKCIJA ZA 2026. I 2027. GODINU</t>
  </si>
  <si>
    <t xml:space="preserve">Opći dio – A. Račun prihoda i rashoda, B. Račun financiranja, C. Preneseni višak/manjak (u EUR)</t>
  </si>
  <si>
    <t xml:space="preserve">Oznaka</t>
  </si>
  <si>
    <t xml:space="preserve">Opis</t>
  </si>
  <si>
    <t xml:space="preserve">Plan 2025.</t>
  </si>
  <si>
    <t xml:space="preserve">Projekcija 2026.</t>
  </si>
  <si>
    <t xml:space="preserve">Projekcija 2027.</t>
  </si>
  <si>
    <t xml:space="preserve">A. RAČUN PRIHODA I RASHODA</t>
  </si>
  <si>
    <t xml:space="preserve">6</t>
  </si>
  <si>
    <t xml:space="preserve">Prihodi poslovanja</t>
  </si>
  <si>
    <t xml:space="preserve">7</t>
  </si>
  <si>
    <t xml:space="preserve">Prihodi od prodaje nefinancijske imovine</t>
  </si>
  <si>
    <t xml:space="preserve">UKUPNI PRIHODI</t>
  </si>
  <si>
    <t xml:space="preserve">3</t>
  </si>
  <si>
    <t xml:space="preserve">Rashodi poslovanja</t>
  </si>
  <si>
    <t xml:space="preserve">4</t>
  </si>
  <si>
    <t xml:space="preserve">Rashodi za nabavu nefinancijske imovine</t>
  </si>
  <si>
    <t xml:space="preserve">UKUPNI RASHODI</t>
  </si>
  <si>
    <t xml:space="preserve">RAZLIKA – VIŠAK / MANJAK</t>
  </si>
  <si>
    <t xml:space="preserve">B. RAČUN FINANCIRANJA</t>
  </si>
  <si>
    <t xml:space="preserve">8</t>
  </si>
  <si>
    <t xml:space="preserve">Primici od financijske imovine i zaduživanja</t>
  </si>
  <si>
    <t xml:space="preserve">5</t>
  </si>
  <si>
    <t xml:space="preserve">Izdaci za financijsku imovinu i otplate zajmova</t>
  </si>
  <si>
    <t xml:space="preserve">NETO FINANCIRANJE</t>
  </si>
  <si>
    <t xml:space="preserve">C. RASPOLOŽIVA SREDSTVA IZ PRETHODNIH GODINA</t>
  </si>
  <si>
    <t xml:space="preserve">9</t>
  </si>
  <si>
    <t xml:space="preserve">Ukupan donos viška/manjka iz prethodnih godina – dio koji će se rasporediti</t>
  </si>
  <si>
    <t xml:space="preserve">VIŠAK/MANJAK + NETO FINANCIRANJE + PRENESENI REZULTAT</t>
  </si>
  <si>
    <t xml:space="preserve">Kontrola: ukupni prihodi (po izvorima) − ukupni rashodi (po izvorima)</t>
  </si>
  <si>
    <t xml:space="preserve">Kontrola: posebni dio − rashodi ekonomska</t>
  </si>
  <si>
    <t xml:space="preserve">Napomene:</t>
  </si>
  <si>
    <t xml:space="preserve">– Podaci su preuzeti iz priloženih dokumenata: Financijski plan 2025.–2027. (posebni dio i rekapitulacija po izvorima, usvojen Odlukom ŠO 23.12.2024., KLASA 007-04/24-01/13).</t>
  </si>
  <si>
    <t xml:space="preserve">– Plavi brojevi u listovima *_detalji su unosi; svi ostali iznosi su formule (SUMIFS) nad tim listovima. Zeleno = poveznica na drugi list.</t>
  </si>
  <si>
    <t xml:space="preserve">– Kontrolni redovi moraju iskazivati 0 (nulu).</t>
  </si>
  <si>
    <t xml:space="preserve">– Prihodi po ekonomskoj klasifikaciji raspoređeni su po analitičkim kontima iz Prijedloga I. rebalansa (stupac plan prije rebalansa); projekcije 2026./2027. po kontima preuzete su iz rekapitulacije po izvorima financiranja.</t>
  </si>
  <si>
    <t xml:space="preserve">Predsjednik Školskog odbora:</t>
  </si>
  <si>
    <t xml:space="preserve">Ravnatelj:</t>
  </si>
  <si>
    <t xml:space="preserve">Vedran Utković, prof.</t>
  </si>
  <si>
    <t xml:space="preserve">Tonći Kuman, prof.</t>
  </si>
  <si>
    <t xml:space="preserve">OPĆI DIO – PRIHODI I PRIMICI PREMA EKONOMSKOJ KLASIFIKACIJI</t>
  </si>
  <si>
    <t xml:space="preserve">Financijski plan za 2025. i projekcije za 2026. i 2027. godinu (u EUR)</t>
  </si>
  <si>
    <t xml:space="preserve">Konto</t>
  </si>
  <si>
    <t xml:space="preserve">Naziv</t>
  </si>
  <si>
    <t xml:space="preserve">63</t>
  </si>
  <si>
    <t xml:space="preserve">Pomoći iz inozemstva i od subjekata unutar općeg proračuna</t>
  </si>
  <si>
    <t xml:space="preserve">636</t>
  </si>
  <si>
    <t xml:space="preserve">Pomoći proračunskim korisnicima iz proračuna koji im nije nadležan</t>
  </si>
  <si>
    <t xml:space="preserve">6361</t>
  </si>
  <si>
    <t xml:space="preserve">Tekuće pomoći proračunskim korisnicima iz proračuna koji im nije nadležan</t>
  </si>
  <si>
    <t xml:space="preserve">6362</t>
  </si>
  <si>
    <t xml:space="preserve">Kapitalne pomoći proračunskim korisnicima iz proračuna koji im nije nadležan</t>
  </si>
  <si>
    <t xml:space="preserve">639</t>
  </si>
  <si>
    <t xml:space="preserve">Prijenosi između proračunskih korisnika istog proračuna</t>
  </si>
  <si>
    <t xml:space="preserve">6391</t>
  </si>
  <si>
    <t xml:space="preserve">Tekući prijenosi između proračunskih korisnika istog proračuna</t>
  </si>
  <si>
    <t xml:space="preserve">6393</t>
  </si>
  <si>
    <t xml:space="preserve">Tekući prijenosi između PK istog proračuna temeljem prijenosa EU sredstava</t>
  </si>
  <si>
    <t xml:space="preserve">65</t>
  </si>
  <si>
    <t xml:space="preserve">Prihodi od upravnih i administrativnih pristojbi, pristojbi po posebnim propisima i naknada</t>
  </si>
  <si>
    <t xml:space="preserve">652</t>
  </si>
  <si>
    <t xml:space="preserve">Prihodi po posebnim propisima</t>
  </si>
  <si>
    <t xml:space="preserve">6526</t>
  </si>
  <si>
    <t xml:space="preserve">Ostali nespomenuti prihodi</t>
  </si>
  <si>
    <t xml:space="preserve">66</t>
  </si>
  <si>
    <t xml:space="preserve">Prihodi od prodaje proizvoda i robe te pruženih usluga i prihodi od donacija</t>
  </si>
  <si>
    <t xml:space="preserve">661</t>
  </si>
  <si>
    <t xml:space="preserve">Prihodi od prodaje proizvoda i robe te pruženih usluga</t>
  </si>
  <si>
    <t xml:space="preserve">6615</t>
  </si>
  <si>
    <t xml:space="preserve">Prihodi od pruženih usluga</t>
  </si>
  <si>
    <t xml:space="preserve">67</t>
  </si>
  <si>
    <t xml:space="preserve">Prihodi iz nadležnog proračuna i od HZZO-a temeljem ugovornih obveza</t>
  </si>
  <si>
    <t xml:space="preserve">671</t>
  </si>
  <si>
    <t xml:space="preserve">Prihodi iz nadležnog proračuna za financiranje redovne djelatnosti proračunskih korisnika</t>
  </si>
  <si>
    <t xml:space="preserve">6711</t>
  </si>
  <si>
    <t xml:space="preserve">Prihodi iz nadležnog proračuna za financiranje rashoda poslovanja</t>
  </si>
  <si>
    <t xml:space="preserve">Vlastiti izvori</t>
  </si>
  <si>
    <t xml:space="preserve">92</t>
  </si>
  <si>
    <t xml:space="preserve">Rezultat poslovanja</t>
  </si>
  <si>
    <t xml:space="preserve">922</t>
  </si>
  <si>
    <t xml:space="preserve">Višak/manjak prihoda</t>
  </si>
  <si>
    <t xml:space="preserve">9221</t>
  </si>
  <si>
    <t xml:space="preserve">Višak prihoda</t>
  </si>
  <si>
    <t xml:space="preserve">OPĆI DIO – RASHODI I IZDACI PREMA EKONOMSKOJ KLASIFIKACIJI</t>
  </si>
  <si>
    <t xml:space="preserve">31</t>
  </si>
  <si>
    <t xml:space="preserve">Rashodi za zaposlene</t>
  </si>
  <si>
    <t xml:space="preserve">311</t>
  </si>
  <si>
    <t xml:space="preserve">Plaće (bruto)</t>
  </si>
  <si>
    <t xml:space="preserve">3111</t>
  </si>
  <si>
    <t xml:space="preserve">Plaće za redovan rad</t>
  </si>
  <si>
    <t xml:space="preserve">312</t>
  </si>
  <si>
    <t xml:space="preserve">Ostali rashodi za zaposlene</t>
  </si>
  <si>
    <t xml:space="preserve">3121</t>
  </si>
  <si>
    <t xml:space="preserve">313</t>
  </si>
  <si>
    <t xml:space="preserve">Doprinosi na plaće</t>
  </si>
  <si>
    <t xml:space="preserve">3132</t>
  </si>
  <si>
    <t xml:space="preserve">Doprinosi za obvezno zdravstveno osiguranje</t>
  </si>
  <si>
    <t xml:space="preserve">32</t>
  </si>
  <si>
    <t xml:space="preserve">Materijalni rashodi</t>
  </si>
  <si>
    <t xml:space="preserve">321</t>
  </si>
  <si>
    <t xml:space="preserve">Naknade troškova zaposlenima</t>
  </si>
  <si>
    <t xml:space="preserve">3211</t>
  </si>
  <si>
    <t xml:space="preserve">Službena putovanja</t>
  </si>
  <si>
    <t xml:space="preserve">3212</t>
  </si>
  <si>
    <t xml:space="preserve">Naknade za prijevoz, rad na terenu i odvojeni život</t>
  </si>
  <si>
    <t xml:space="preserve">3213</t>
  </si>
  <si>
    <t xml:space="preserve">Stručno usavršavanje zaposlenika</t>
  </si>
  <si>
    <t xml:space="preserve">3214</t>
  </si>
  <si>
    <t xml:space="preserve">Ostale naknade troškova zaposlenima</t>
  </si>
  <si>
    <t xml:space="preserve">322</t>
  </si>
  <si>
    <t xml:space="preserve">Rashodi za materijal i energiju</t>
  </si>
  <si>
    <t xml:space="preserve">3221</t>
  </si>
  <si>
    <t xml:space="preserve">Uredski materijal i ostali materijalni rashodi</t>
  </si>
  <si>
    <t xml:space="preserve">3222</t>
  </si>
  <si>
    <t xml:space="preserve">Materijal i sirovine</t>
  </si>
  <si>
    <t xml:space="preserve">3223</t>
  </si>
  <si>
    <t xml:space="preserve">Energija</t>
  </si>
  <si>
    <t xml:space="preserve">3224</t>
  </si>
  <si>
    <t xml:space="preserve">Materijal i dijelovi za tekuće i investicijsko održavanje</t>
  </si>
  <si>
    <t xml:space="preserve">3225</t>
  </si>
  <si>
    <t xml:space="preserve">Sitni inventar i auto gume</t>
  </si>
  <si>
    <t xml:space="preserve">3227</t>
  </si>
  <si>
    <t xml:space="preserve">Službena, radna i zaštitna odjeća i obuća</t>
  </si>
  <si>
    <t xml:space="preserve">323</t>
  </si>
  <si>
    <t xml:space="preserve">Rashodi za usluge</t>
  </si>
  <si>
    <t xml:space="preserve">3231</t>
  </si>
  <si>
    <t xml:space="preserve">Usluge telefona, pošte i prijevoza</t>
  </si>
  <si>
    <t xml:space="preserve">3232</t>
  </si>
  <si>
    <t xml:space="preserve">Usluge tekućeg i investicijskog održavanja</t>
  </si>
  <si>
    <t xml:space="preserve">3234</t>
  </si>
  <si>
    <t xml:space="preserve">Komunalne usluge</t>
  </si>
  <si>
    <t xml:space="preserve">3235</t>
  </si>
  <si>
    <t xml:space="preserve">Zakupnine i najamnine</t>
  </si>
  <si>
    <t xml:space="preserve">3236</t>
  </si>
  <si>
    <t xml:space="preserve">Zdravstvene i veterinarske usluge</t>
  </si>
  <si>
    <t xml:space="preserve">3237</t>
  </si>
  <si>
    <t xml:space="preserve">Intelektualne i osobne usluge</t>
  </si>
  <si>
    <t xml:space="preserve">3238</t>
  </si>
  <si>
    <t xml:space="preserve">Računalne usluge</t>
  </si>
  <si>
    <t xml:space="preserve">3239</t>
  </si>
  <si>
    <t xml:space="preserve">Ostale usluge</t>
  </si>
  <si>
    <t xml:space="preserve">329</t>
  </si>
  <si>
    <t xml:space="preserve">Ostali nespomenuti rashodi poslovanja</t>
  </si>
  <si>
    <t xml:space="preserve">3292</t>
  </si>
  <si>
    <t xml:space="preserve">Premije osiguranja</t>
  </si>
  <si>
    <t xml:space="preserve">3293</t>
  </si>
  <si>
    <t xml:space="preserve">Reprezentacija</t>
  </si>
  <si>
    <t xml:space="preserve">3294</t>
  </si>
  <si>
    <t xml:space="preserve">Članarine i norme</t>
  </si>
  <si>
    <t xml:space="preserve">3295</t>
  </si>
  <si>
    <t xml:space="preserve">Pristojbe i naknade</t>
  </si>
  <si>
    <t xml:space="preserve">34</t>
  </si>
  <si>
    <t xml:space="preserve">Financijski rashodi</t>
  </si>
  <si>
    <t xml:space="preserve">343</t>
  </si>
  <si>
    <t xml:space="preserve">Ostali financijski rashodi</t>
  </si>
  <si>
    <t xml:space="preserve">3431</t>
  </si>
  <si>
    <t xml:space="preserve">Bankarske usluge i usluge platnog prometa</t>
  </si>
  <si>
    <t xml:space="preserve">3433</t>
  </si>
  <si>
    <t xml:space="preserve">Zatezne kamate</t>
  </si>
  <si>
    <t xml:space="preserve">37</t>
  </si>
  <si>
    <t xml:space="preserve">Naknade građanima i kućanstvima na temelju osiguranja i druge naknade</t>
  </si>
  <si>
    <t xml:space="preserve">372</t>
  </si>
  <si>
    <t xml:space="preserve">Ostale naknade građanima i kućanstvima iz proračuna</t>
  </si>
  <si>
    <t xml:space="preserve">3722</t>
  </si>
  <si>
    <t xml:space="preserve">Naknade građanima i kućanstvima u naravi</t>
  </si>
  <si>
    <t xml:space="preserve">38</t>
  </si>
  <si>
    <t xml:space="preserve">Ostali rashodi</t>
  </si>
  <si>
    <t xml:space="preserve">381</t>
  </si>
  <si>
    <t xml:space="preserve">Tekuće donacije</t>
  </si>
  <si>
    <t xml:space="preserve">3812</t>
  </si>
  <si>
    <t xml:space="preserve">Tekuće donacije u naravi</t>
  </si>
  <si>
    <t xml:space="preserve">42</t>
  </si>
  <si>
    <t xml:space="preserve">Rashodi za nabavu proizvedene dugotrajne imovine</t>
  </si>
  <si>
    <t xml:space="preserve">422</t>
  </si>
  <si>
    <t xml:space="preserve">Postrojenja i oprema</t>
  </si>
  <si>
    <t xml:space="preserve">4221</t>
  </si>
  <si>
    <t xml:space="preserve">Uredska oprema i namještaj</t>
  </si>
  <si>
    <t xml:space="preserve">4227</t>
  </si>
  <si>
    <t xml:space="preserve">Uređaji, strojevi i oprema za ostale namjene</t>
  </si>
  <si>
    <t xml:space="preserve">424</t>
  </si>
  <si>
    <t xml:space="preserve">Knjige, umjetnička djela i ostale izložbene vrijednosti</t>
  </si>
  <si>
    <t xml:space="preserve">4241</t>
  </si>
  <si>
    <t xml:space="preserve">Knjige</t>
  </si>
  <si>
    <t xml:space="preserve">426</t>
  </si>
  <si>
    <t xml:space="preserve">Nematerijalna proizvedena imovina</t>
  </si>
  <si>
    <t xml:space="preserve">4264</t>
  </si>
  <si>
    <t xml:space="preserve">Ostala nematerijalna proizvedena imovina</t>
  </si>
  <si>
    <t xml:space="preserve">45</t>
  </si>
  <si>
    <t xml:space="preserve">Rashodi za dodatna ulaganja na nefinancijskoj imovini</t>
  </si>
  <si>
    <t xml:space="preserve">451</t>
  </si>
  <si>
    <t xml:space="preserve">Dodatna ulaganja na građevinskim objektima</t>
  </si>
  <si>
    <t xml:space="preserve">4511</t>
  </si>
  <si>
    <t xml:space="preserve">UKUPNO RASHODI</t>
  </si>
  <si>
    <t xml:space="preserve">OPĆI DIO – PRIHODI I RASHODI PREMA IZVORIMA FINANCIRANJA</t>
  </si>
  <si>
    <t xml:space="preserve">Financijski plan 2025.–2027. (u EUR)</t>
  </si>
  <si>
    <t xml:space="preserve">Izvor</t>
  </si>
  <si>
    <t xml:space="preserve">PRIHODI I PRIMICI</t>
  </si>
  <si>
    <t xml:space="preserve">11</t>
  </si>
  <si>
    <t xml:space="preserve">Opći prihodi i primici</t>
  </si>
  <si>
    <t xml:space="preserve">110</t>
  </si>
  <si>
    <t xml:space="preserve">   Opći prihodi i primici – Zadarska županija</t>
  </si>
  <si>
    <t xml:space="preserve">Vlastiti prihodi</t>
  </si>
  <si>
    <t xml:space="preserve">   Vlastiti prihodi – korisnici</t>
  </si>
  <si>
    <t xml:space="preserve">41</t>
  </si>
  <si>
    <t xml:space="preserve">Prihodi za posebne namjene</t>
  </si>
  <si>
    <t xml:space="preserve">   Prihodi za posebne namjene</t>
  </si>
  <si>
    <t xml:space="preserve">Višak prihoda iz prethodnih godina</t>
  </si>
  <si>
    <t xml:space="preserve">42034</t>
  </si>
  <si>
    <t xml:space="preserve">   Višak prihoda OŠ</t>
  </si>
  <si>
    <t xml:space="preserve">Decentralizirane funkcije (F.P. i dod. udio u porezu na dohodak)</t>
  </si>
  <si>
    <t xml:space="preserve">   F.P. i dod. udio u por. na dohodak</t>
  </si>
  <si>
    <t xml:space="preserve">51</t>
  </si>
  <si>
    <t xml:space="preserve">Pomoći iz državnog proračuna</t>
  </si>
  <si>
    <t xml:space="preserve">5103</t>
  </si>
  <si>
    <t xml:space="preserve">   MZOM – ostali rashodi</t>
  </si>
  <si>
    <t xml:space="preserve">51034</t>
  </si>
  <si>
    <t xml:space="preserve">   MZOM – udžbenici</t>
  </si>
  <si>
    <t xml:space="preserve">51035</t>
  </si>
  <si>
    <t xml:space="preserve">   MZOM – plaće</t>
  </si>
  <si>
    <t xml:space="preserve">51038</t>
  </si>
  <si>
    <t xml:space="preserve">   MZOM – Inkluzija</t>
  </si>
  <si>
    <t xml:space="preserve">510391</t>
  </si>
  <si>
    <t xml:space="preserve">   MZOM – prehrana za učenike</t>
  </si>
  <si>
    <t xml:space="preserve">511903</t>
  </si>
  <si>
    <t xml:space="preserve">   MRMSOSP – menstrualne hig. potrepštine</t>
  </si>
  <si>
    <t xml:space="preserve">53</t>
  </si>
  <si>
    <t xml:space="preserve">Pomoći iz proračuna JLS</t>
  </si>
  <si>
    <t xml:space="preserve">   Proračun JLS – Grad Benkovac</t>
  </si>
  <si>
    <t xml:space="preserve">54</t>
  </si>
  <si>
    <t xml:space="preserve">Pomoći iz inozemstva (EU)</t>
  </si>
  <si>
    <t xml:space="preserve">540099</t>
  </si>
  <si>
    <t xml:space="preserve">   EU – projekt Inkluzija</t>
  </si>
  <si>
    <t xml:space="preserve">UKUPNO PRIHODI I PRIMICI</t>
  </si>
  <si>
    <t xml:space="preserve">RASHODI I IZDACI</t>
  </si>
  <si>
    <t xml:space="preserve">UKUPNO RASHODI I IZDACI</t>
  </si>
  <si>
    <t xml:space="preserve">OPĆI DIO – RASHODI PREMA FUNKCIJSKOJ KLASIFIKACIJI</t>
  </si>
  <si>
    <t xml:space="preserve">(u EUR)</t>
  </si>
  <si>
    <t xml:space="preserve">Funkcija</t>
  </si>
  <si>
    <t xml:space="preserve">09</t>
  </si>
  <si>
    <t xml:space="preserve">Obrazovanje</t>
  </si>
  <si>
    <t xml:space="preserve">0912</t>
  </si>
  <si>
    <t xml:space="preserve">Osnovno obrazovanje</t>
  </si>
  <si>
    <t xml:space="preserve">0960</t>
  </si>
  <si>
    <t xml:space="preserve">Dodatne usluge u obrazovanju</t>
  </si>
  <si>
    <t xml:space="preserve">POSEBNI DIO – RASHODI I IZDACI PO PROGRAMIMA, AKTIVNOSTIMA, IZVORIMA I EKONOMSKOJ KLASIFIKACIJI</t>
  </si>
  <si>
    <t xml:space="preserve">Financijski plan 2025.–2027. · Razdjel 007 · Glava 00706 · Proračunski korisnik 21238 OŠ Benkovac (u EUR)</t>
  </si>
  <si>
    <t xml:space="preserve">UKUPNO OŠ BENKOVAC</t>
  </si>
  <si>
    <t xml:space="preserve">Program 2202</t>
  </si>
  <si>
    <t xml:space="preserve">Osnovno školstvo – standard</t>
  </si>
  <si>
    <t xml:space="preserve">A2202-01</t>
  </si>
  <si>
    <t xml:space="preserve">Djelatnost osnovnih škola (funkcija 0912)</t>
  </si>
  <si>
    <t xml:space="preserve">Izvor 451</t>
  </si>
  <si>
    <t xml:space="preserve">F.P. i dod. udio u por. na dohodak</t>
  </si>
  <si>
    <t xml:space="preserve">32111</t>
  </si>
  <si>
    <t xml:space="preserve">Dnevnice za službeni put u zemlji</t>
  </si>
  <si>
    <t xml:space="preserve">32131</t>
  </si>
  <si>
    <t xml:space="preserve">Seminari, savjetovanja</t>
  </si>
  <si>
    <t xml:space="preserve">32149</t>
  </si>
  <si>
    <t xml:space="preserve">32211</t>
  </si>
  <si>
    <t xml:space="preserve">Uredski materijal</t>
  </si>
  <si>
    <t xml:space="preserve">32221</t>
  </si>
  <si>
    <t xml:space="preserve">Osnovni materijal i sirovine</t>
  </si>
  <si>
    <t xml:space="preserve">32231</t>
  </si>
  <si>
    <t xml:space="preserve">Električna energija</t>
  </si>
  <si>
    <t xml:space="preserve">32234</t>
  </si>
  <si>
    <t xml:space="preserve">Motorni benzin i dizel gorivo</t>
  </si>
  <si>
    <t xml:space="preserve">32239</t>
  </si>
  <si>
    <t xml:space="preserve">Ostali materijali za proizvodnju energije</t>
  </si>
  <si>
    <t xml:space="preserve">32241</t>
  </si>
  <si>
    <t xml:space="preserve">Materijal i dijelovi za tekuće i inv. održavanje građ. objekata</t>
  </si>
  <si>
    <t xml:space="preserve">32251</t>
  </si>
  <si>
    <t xml:space="preserve">Sitni inventar</t>
  </si>
  <si>
    <t xml:space="preserve">32271</t>
  </si>
  <si>
    <t xml:space="preserve">32311</t>
  </si>
  <si>
    <t xml:space="preserve">Usluge telefona, telefaksa</t>
  </si>
  <si>
    <t xml:space="preserve">32321</t>
  </si>
  <si>
    <t xml:space="preserve">Usluge tekućeg i inv. održavanja građ. objekata</t>
  </si>
  <si>
    <t xml:space="preserve">32341</t>
  </si>
  <si>
    <t xml:space="preserve">Opskrba vodom</t>
  </si>
  <si>
    <t xml:space="preserve">32349</t>
  </si>
  <si>
    <t xml:space="preserve">Ostale komunalne usluge</t>
  </si>
  <si>
    <t xml:space="preserve">32353</t>
  </si>
  <si>
    <t xml:space="preserve">Zakupnine i najamnine za opremu (prijevoz učenika)</t>
  </si>
  <si>
    <t xml:space="preserve">32359</t>
  </si>
  <si>
    <t xml:space="preserve">Ostale najamnine i zakupnine</t>
  </si>
  <si>
    <t xml:space="preserve">32361</t>
  </si>
  <si>
    <t xml:space="preserve">Obvezni zdravstveni pregledi zaposlenika</t>
  </si>
  <si>
    <t xml:space="preserve">32379</t>
  </si>
  <si>
    <t xml:space="preserve">Ostale intelektualne usluge</t>
  </si>
  <si>
    <t xml:space="preserve">32389</t>
  </si>
  <si>
    <t xml:space="preserve">Ostale računalne usluge</t>
  </si>
  <si>
    <t xml:space="preserve">32922</t>
  </si>
  <si>
    <t xml:space="preserve">Premije osiguranja ostale imovine</t>
  </si>
  <si>
    <t xml:space="preserve">32941</t>
  </si>
  <si>
    <t xml:space="preserve">Tuzemne članarine</t>
  </si>
  <si>
    <t xml:space="preserve">32952</t>
  </si>
  <si>
    <t xml:space="preserve">Sudske pristojbe</t>
  </si>
  <si>
    <t xml:space="preserve">34312</t>
  </si>
  <si>
    <t xml:space="preserve">Usluge platnog prometa</t>
  </si>
  <si>
    <t xml:space="preserve">A2202-04</t>
  </si>
  <si>
    <t xml:space="preserve">Administracija i upravljanje (funkcija 0912)</t>
  </si>
  <si>
    <t xml:space="preserve">Izvor 51035</t>
  </si>
  <si>
    <t xml:space="preserve">MZOM – plaće</t>
  </si>
  <si>
    <t xml:space="preserve">31111</t>
  </si>
  <si>
    <t xml:space="preserve">31321</t>
  </si>
  <si>
    <t xml:space="preserve">Doprinos za obvezno zdravstveno osiguranje</t>
  </si>
  <si>
    <t xml:space="preserve">32121</t>
  </si>
  <si>
    <t xml:space="preserve">Naknade za prijevoz na posao i s posla</t>
  </si>
  <si>
    <t xml:space="preserve">32955</t>
  </si>
  <si>
    <t xml:space="preserve">Novčana naknada zbog nezapošljavanja osoba s invaliditetom</t>
  </si>
  <si>
    <t xml:space="preserve">Program 2203</t>
  </si>
  <si>
    <t xml:space="preserve">Osnovno školstvo – iznad standarda</t>
  </si>
  <si>
    <t xml:space="preserve">T2203-02</t>
  </si>
  <si>
    <t xml:space="preserve">Projektna dokumentacija – javne potrebe (funkcija 0912)</t>
  </si>
  <si>
    <t xml:space="preserve">Izvor 110</t>
  </si>
  <si>
    <t xml:space="preserve">Opći prihodi i primici – Zadarska županija</t>
  </si>
  <si>
    <t xml:space="preserve">42641</t>
  </si>
  <si>
    <t xml:space="preserve">A2203-04</t>
  </si>
  <si>
    <t xml:space="preserve">Podizanje kvalitete i standarda u školstvu (funkcija 0912)</t>
  </si>
  <si>
    <t xml:space="preserve">Izvor 31</t>
  </si>
  <si>
    <t xml:space="preserve">Vlastiti prihodi – korisnici</t>
  </si>
  <si>
    <t xml:space="preserve">32382</t>
  </si>
  <si>
    <t xml:space="preserve">Usluge razvoja softwarea</t>
  </si>
  <si>
    <t xml:space="preserve">32394</t>
  </si>
  <si>
    <t xml:space="preserve">Usluge pri registraciji prijevoznih sredstava</t>
  </si>
  <si>
    <t xml:space="preserve">34333</t>
  </si>
  <si>
    <t xml:space="preserve">Zatezne kamate iz poslovnih odnosa</t>
  </si>
  <si>
    <t xml:space="preserve">42219</t>
  </si>
  <si>
    <t xml:space="preserve">Ostala uredska oprema</t>
  </si>
  <si>
    <t xml:space="preserve">42271</t>
  </si>
  <si>
    <t xml:space="preserve">Uređaji</t>
  </si>
  <si>
    <t xml:space="preserve">Izvor 41</t>
  </si>
  <si>
    <t xml:space="preserve">31213</t>
  </si>
  <si>
    <t xml:space="preserve">Darovi</t>
  </si>
  <si>
    <t xml:space="preserve">31216</t>
  </si>
  <si>
    <t xml:space="preserve">Regres za godišnji odmor</t>
  </si>
  <si>
    <t xml:space="preserve">31219</t>
  </si>
  <si>
    <t xml:space="preserve">Ostali nenavedeni rashodi za zaposlene</t>
  </si>
  <si>
    <t xml:space="preserve">32224</t>
  </si>
  <si>
    <t xml:space="preserve">Namirnice</t>
  </si>
  <si>
    <t xml:space="preserve">Izvor 42034</t>
  </si>
  <si>
    <t xml:space="preserve">Višak prihoda OŠ</t>
  </si>
  <si>
    <t xml:space="preserve">32931</t>
  </si>
  <si>
    <t xml:space="preserve">45111</t>
  </si>
  <si>
    <t xml:space="preserve">Izvor 5103</t>
  </si>
  <si>
    <t xml:space="preserve">MZOM – ostali rashodi</t>
  </si>
  <si>
    <t xml:space="preserve">32372</t>
  </si>
  <si>
    <t xml:space="preserve">Ugovori o djelu</t>
  </si>
  <si>
    <t xml:space="preserve">37221</t>
  </si>
  <si>
    <t xml:space="preserve">Sufinanciranje cijene prijevoza</t>
  </si>
  <si>
    <t xml:space="preserve">Izvor 51034</t>
  </si>
  <si>
    <t xml:space="preserve">MZOM – udžbenici</t>
  </si>
  <si>
    <t xml:space="preserve">42411</t>
  </si>
  <si>
    <t xml:space="preserve">Izvor 53</t>
  </si>
  <si>
    <t xml:space="preserve">Proračun JLS – Grad Benkovac</t>
  </si>
  <si>
    <t xml:space="preserve">37229</t>
  </si>
  <si>
    <t xml:space="preserve">Ostale naknade iz proračuna u naravi</t>
  </si>
  <si>
    <t xml:space="preserve">A2203-27</t>
  </si>
  <si>
    <t xml:space="preserve">Udžbenici (funkcija 0960)</t>
  </si>
  <si>
    <t xml:space="preserve">Knjige (udžbenici)</t>
  </si>
  <si>
    <t xml:space="preserve">A2203-33</t>
  </si>
  <si>
    <t xml:space="preserve">Prehrana za učenike (funkcija 0912)</t>
  </si>
  <si>
    <t xml:space="preserve">Izvor 510391</t>
  </si>
  <si>
    <t xml:space="preserve">MZOM – prehrana za učenike</t>
  </si>
  <si>
    <t xml:space="preserve">A2203-34</t>
  </si>
  <si>
    <t xml:space="preserve">Zalihe menstrualnih higijenskih potrepština (funkcija 0912)</t>
  </si>
  <si>
    <t xml:space="preserve">Izvor 511903</t>
  </si>
  <si>
    <t xml:space="preserve">MRMSOSP – menstrualne hig. potrepštine</t>
  </si>
  <si>
    <t xml:space="preserve">38129</t>
  </si>
  <si>
    <t xml:space="preserve">Ostale tekuće donacije u naravi</t>
  </si>
  <si>
    <t xml:space="preserve">Program 4306</t>
  </si>
  <si>
    <t xml:space="preserve">Nacionalni EU projekti</t>
  </si>
  <si>
    <t xml:space="preserve">T4306-03</t>
  </si>
  <si>
    <t xml:space="preserve">Inkluzija – korak bliže društvu bez prepreka (funkcija 0912)</t>
  </si>
  <si>
    <t xml:space="preserve">Izvor 51038</t>
  </si>
  <si>
    <t xml:space="preserve">MZOM – Inkluzija</t>
  </si>
  <si>
    <t xml:space="preserve">Izvor 540099</t>
  </si>
  <si>
    <t xml:space="preserve">EU – projekt Inkluzija</t>
  </si>
  <si>
    <t xml:space="preserve">RASHODI I IZDACI – DETALJNI PODACI PO KONTIMA</t>
  </si>
  <si>
    <t xml:space="preserve">Izvor podataka: Financijski plan 2025.–2027. usvojen 23.12.2024.</t>
  </si>
  <si>
    <t xml:space="preserve">Program</t>
  </si>
  <si>
    <t xml:space="preserve">Aktivnost/projekt</t>
  </si>
  <si>
    <t xml:space="preserve">Izvor (grupa)</t>
  </si>
  <si>
    <t xml:space="preserve">Razred</t>
  </si>
  <si>
    <t xml:space="preserve">Skupina</t>
  </si>
  <si>
    <t xml:space="preserve">Podskupina</t>
  </si>
  <si>
    <t xml:space="preserve">Odjeljak</t>
  </si>
  <si>
    <t xml:space="preserve">2202</t>
  </si>
  <si>
    <t xml:space="preserve">2203</t>
  </si>
  <si>
    <t xml:space="preserve">4306</t>
  </si>
  <si>
    <t xml:space="preserve">PRIHODI I PRIMICI – DETALJNI PODACI PO KONTIMA</t>
  </si>
  <si>
    <t xml:space="preserve">Izvor podataka: Financijski plan 2025.–2027. (rekapitulacija po izvorima) i Prijedlog I. rebalansa – stupac plan prije rebalansa</t>
  </si>
  <si>
    <t xml:space="preserve">Konto (analitika)</t>
  </si>
  <si>
    <t xml:space="preserve">Opis izvora</t>
  </si>
  <si>
    <t xml:space="preserve">6361211</t>
  </si>
  <si>
    <t xml:space="preserve">MZOM – tekuće pomoći OŠ</t>
  </si>
  <si>
    <t xml:space="preserve">636123401</t>
  </si>
  <si>
    <t xml:space="preserve">MZOM – plaće zaposlenih OŠ</t>
  </si>
  <si>
    <t xml:space="preserve">636123432</t>
  </si>
  <si>
    <t xml:space="preserve">636123433</t>
  </si>
  <si>
    <t xml:space="preserve">MRMSOSP – zalihe menstrualnih hig. potrepština</t>
  </si>
  <si>
    <t xml:space="preserve">6361311</t>
  </si>
  <si>
    <t xml:space="preserve">Grad Benkovac – tekuće pomoći OŠ</t>
  </si>
  <si>
    <t xml:space="preserve">63622340101</t>
  </si>
  <si>
    <t xml:space="preserve">MZOM – udžbenici OŠ (kapitalne pomoći)</t>
  </si>
  <si>
    <t xml:space="preserve">63911</t>
  </si>
  <si>
    <t xml:space="preserve">Tekući prijenosi između PK istog proračuna (Inkluzija)</t>
  </si>
  <si>
    <t xml:space="preserve">63931</t>
  </si>
  <si>
    <t xml:space="preserve">Tekući prijenosi između PK – prijenos EU sredstava (Inkluzija)</t>
  </si>
  <si>
    <t xml:space="preserve">652682</t>
  </si>
  <si>
    <t xml:space="preserve">Prihodi za posebne namjene – OŠ</t>
  </si>
  <si>
    <t xml:space="preserve">661521</t>
  </si>
  <si>
    <t xml:space="preserve">Prihodi od pruženih usluga – OŠ</t>
  </si>
  <si>
    <t xml:space="preserve">67111004</t>
  </si>
  <si>
    <t xml:space="preserve">Prihodi iz nadležnog proračuna – decentralizirane funkcije</t>
  </si>
  <si>
    <t xml:space="preserve">671110041</t>
  </si>
  <si>
    <t xml:space="preserve">Prihodi iz nadležnog proračuna – opći prihodi ZŽ</t>
  </si>
  <si>
    <t xml:space="preserve">922111301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</si>
</sst>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\-#,##0.00;\-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i val="true"/>
      <sz val="10"/>
      <color rgb="FF000000"/>
      <name val="Arial"/>
      <family val="0"/>
      <charset val="1"/>
    </font>
    <font>
      <sz val="10"/>
      <color rgb="FF008000"/>
      <name val="Arial"/>
      <family val="0"/>
      <charset val="1"/>
    </font>
    <font>
      <sz val="11"/>
      <name val="Cambria"/>
      <family val="0"/>
      <charset val="1"/>
    </font>
    <font>
      <sz val="10"/>
      <color rgb="FF0000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D9E2F3"/>
        <bgColor rgb="FFDDEBF7"/>
      </patternFill>
    </fill>
    <fill>
      <patternFill patternType="solid">
        <fgColor rgb="FFDDEBF7"/>
        <bgColor rgb="FFD9E2F3"/>
      </patternFill>
    </fill>
    <fill>
      <patternFill patternType="solid">
        <fgColor rgb="FFF2F2F2"/>
        <bgColor rgb="FFDDEBF7"/>
      </patternFill>
    </fill>
    <fill>
      <patternFill patternType="solid">
        <fgColor rgb="FFBDD7EE"/>
        <bgColor rgb="FFD9E2F3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D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E2F3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4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2"/>
    <col collapsed="false" customWidth="true" hidden="false" outlineLevel="0" max="5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4</v>
      </c>
      <c r="B6" s="3"/>
      <c r="C6" s="3"/>
      <c r="D6" s="3"/>
      <c r="E6" s="3"/>
    </row>
    <row r="7" customFormat="false" ht="15" hidden="false" customHeight="false" outlineLevel="0" collapsed="false">
      <c r="A7" s="4" t="s">
        <v>5</v>
      </c>
      <c r="B7" s="4"/>
      <c r="C7" s="4"/>
      <c r="D7" s="4"/>
      <c r="E7" s="4"/>
    </row>
    <row r="9" customFormat="false" ht="30" hidden="false" customHeight="true" outlineLevel="0" collapsed="false">
      <c r="A9" s="5" t="s">
        <v>6</v>
      </c>
      <c r="B9" s="5" t="s">
        <v>7</v>
      </c>
      <c r="C9" s="5" t="s">
        <v>8</v>
      </c>
      <c r="D9" s="5" t="s">
        <v>9</v>
      </c>
      <c r="E9" s="5" t="s">
        <v>10</v>
      </c>
    </row>
    <row r="10" customFormat="false" ht="15" hidden="false" customHeight="false" outlineLevel="0" collapsed="false">
      <c r="A10" s="1" t="s">
        <v>11</v>
      </c>
    </row>
    <row r="11" customFormat="false" ht="15" hidden="false" customHeight="false" outlineLevel="0" collapsed="false">
      <c r="A11" s="6" t="s">
        <v>12</v>
      </c>
      <c r="B11" s="7" t="s">
        <v>13</v>
      </c>
      <c r="C11" s="8" t="n">
        <f aca="false">Prihodi_ekonomska!C10</f>
        <v>3309891.01</v>
      </c>
      <c r="D11" s="8" t="n">
        <f aca="false">Prihodi_ekonomska!D10</f>
        <v>3359539.37</v>
      </c>
      <c r="E11" s="8" t="n">
        <f aca="false">Prihodi_ekonomska!E10</f>
        <v>3409841.28</v>
      </c>
    </row>
    <row r="12" customFormat="false" ht="15" hidden="false" customHeight="false" outlineLevel="0" collapsed="false">
      <c r="A12" s="6" t="s">
        <v>14</v>
      </c>
      <c r="B12" s="7" t="s">
        <v>15</v>
      </c>
      <c r="C12" s="9" t="n">
        <v>0</v>
      </c>
      <c r="D12" s="9" t="n">
        <v>0</v>
      </c>
      <c r="E12" s="9" t="n">
        <v>0</v>
      </c>
    </row>
    <row r="13" customFormat="false" ht="15" hidden="false" customHeight="false" outlineLevel="0" collapsed="false">
      <c r="A13" s="10"/>
      <c r="B13" s="11" t="s">
        <v>16</v>
      </c>
      <c r="C13" s="12" t="n">
        <f aca="false">C11+C12</f>
        <v>3309891.01</v>
      </c>
      <c r="D13" s="12" t="n">
        <f aca="false">D11+D12</f>
        <v>3359539.37</v>
      </c>
      <c r="E13" s="12" t="n">
        <f aca="false">E11+E12</f>
        <v>3409841.28</v>
      </c>
    </row>
    <row r="14" customFormat="false" ht="15" hidden="false" customHeight="false" outlineLevel="0" collapsed="false">
      <c r="A14" s="6" t="s">
        <v>17</v>
      </c>
      <c r="B14" s="7" t="s">
        <v>18</v>
      </c>
      <c r="C14" s="8" t="n">
        <f aca="false">Rashodi_ekonomska!C10</f>
        <v>3257621</v>
      </c>
      <c r="D14" s="8" t="n">
        <f aca="false">Rashodi_ekonomska!D10</f>
        <v>3306485.31</v>
      </c>
      <c r="E14" s="8" t="n">
        <f aca="false">Rashodi_ekonomska!E10</f>
        <v>3355991.41</v>
      </c>
    </row>
    <row r="15" customFormat="false" ht="15" hidden="false" customHeight="false" outlineLevel="0" collapsed="false">
      <c r="A15" s="6" t="s">
        <v>19</v>
      </c>
      <c r="B15" s="7" t="s">
        <v>20</v>
      </c>
      <c r="C15" s="8" t="n">
        <f aca="false">Rashodi_ekonomska!C55</f>
        <v>114137.34</v>
      </c>
      <c r="D15" s="8" t="n">
        <f aca="false">Rashodi_ekonomska!D55</f>
        <v>115849.4</v>
      </c>
      <c r="E15" s="8" t="n">
        <f aca="false">Rashodi_ekonomska!E55</f>
        <v>117587.15</v>
      </c>
    </row>
    <row r="16" customFormat="false" ht="15" hidden="false" customHeight="false" outlineLevel="0" collapsed="false">
      <c r="A16" s="10"/>
      <c r="B16" s="11" t="s">
        <v>21</v>
      </c>
      <c r="C16" s="12" t="n">
        <f aca="false">C14+C15</f>
        <v>3371758.34</v>
      </c>
      <c r="D16" s="12" t="n">
        <f aca="false">D14+D15</f>
        <v>3422334.71</v>
      </c>
      <c r="E16" s="12" t="n">
        <f aca="false">E14+E15</f>
        <v>3473578.56</v>
      </c>
    </row>
    <row r="17" customFormat="false" ht="15" hidden="false" customHeight="false" outlineLevel="0" collapsed="false">
      <c r="A17" s="13"/>
      <c r="B17" s="14" t="s">
        <v>22</v>
      </c>
      <c r="C17" s="15" t="n">
        <f aca="false">ROUND(C13-C16,2)</f>
        <v>-61867.33</v>
      </c>
      <c r="D17" s="15" t="n">
        <f aca="false">ROUND(D13-D16,2)</f>
        <v>-62795.34</v>
      </c>
      <c r="E17" s="15" t="n">
        <f aca="false">ROUND(E13-E16,2)</f>
        <v>-63737.28</v>
      </c>
    </row>
    <row r="19" customFormat="false" ht="15" hidden="false" customHeight="false" outlineLevel="0" collapsed="false">
      <c r="A19" s="1" t="s">
        <v>23</v>
      </c>
    </row>
    <row r="20" customFormat="false" ht="15" hidden="false" customHeight="false" outlineLevel="0" collapsed="false">
      <c r="A20" s="6" t="s">
        <v>24</v>
      </c>
      <c r="B20" s="7" t="s">
        <v>25</v>
      </c>
      <c r="C20" s="9" t="n">
        <v>0</v>
      </c>
      <c r="D20" s="9" t="n">
        <v>0</v>
      </c>
      <c r="E20" s="9" t="n">
        <v>0</v>
      </c>
    </row>
    <row r="21" customFormat="false" ht="15" hidden="false" customHeight="false" outlineLevel="0" collapsed="false">
      <c r="A21" s="6" t="s">
        <v>26</v>
      </c>
      <c r="B21" s="7" t="s">
        <v>27</v>
      </c>
      <c r="C21" s="9" t="n">
        <v>0</v>
      </c>
      <c r="D21" s="9" t="n">
        <v>0</v>
      </c>
      <c r="E21" s="9" t="n">
        <v>0</v>
      </c>
    </row>
    <row r="22" customFormat="false" ht="15" hidden="false" customHeight="false" outlineLevel="0" collapsed="false">
      <c r="A22" s="13"/>
      <c r="B22" s="14" t="s">
        <v>28</v>
      </c>
      <c r="C22" s="15" t="n">
        <f aca="false">C20-C21</f>
        <v>0</v>
      </c>
      <c r="D22" s="15" t="n">
        <f aca="false">D20-D21</f>
        <v>0</v>
      </c>
      <c r="E22" s="15" t="n">
        <f aca="false">E20-E21</f>
        <v>0</v>
      </c>
    </row>
    <row r="24" customFormat="false" ht="15" hidden="false" customHeight="false" outlineLevel="0" collapsed="false">
      <c r="A24" s="1" t="s">
        <v>29</v>
      </c>
    </row>
    <row r="25" customFormat="false" ht="15" hidden="false" customHeight="false" outlineLevel="0" collapsed="false">
      <c r="A25" s="6" t="s">
        <v>30</v>
      </c>
      <c r="B25" s="7" t="s">
        <v>31</v>
      </c>
      <c r="C25" s="8" t="n">
        <f aca="false">Prihodi_ekonomska!C27</f>
        <v>61867.33</v>
      </c>
      <c r="D25" s="8" t="n">
        <f aca="false">Prihodi_ekonomska!D27</f>
        <v>62795.34</v>
      </c>
      <c r="E25" s="8" t="n">
        <f aca="false">Prihodi_ekonomska!E27</f>
        <v>63737.28</v>
      </c>
    </row>
    <row r="27" customFormat="false" ht="15" hidden="false" customHeight="false" outlineLevel="0" collapsed="false">
      <c r="A27" s="16"/>
      <c r="B27" s="17" t="s">
        <v>32</v>
      </c>
      <c r="C27" s="18" t="n">
        <f aca="false">ROUND(C17+C22+C25,2)</f>
        <v>0</v>
      </c>
      <c r="D27" s="18" t="n">
        <f aca="false">ROUND(D17+D22+D25,2)</f>
        <v>0</v>
      </c>
      <c r="E27" s="18" t="n">
        <f aca="false">ROUND(E17+E22+E25,2)</f>
        <v>0</v>
      </c>
    </row>
    <row r="29" customFormat="false" ht="15" hidden="false" customHeight="false" outlineLevel="0" collapsed="false">
      <c r="A29" s="6"/>
      <c r="B29" s="7" t="s">
        <v>33</v>
      </c>
      <c r="C29" s="8" t="n">
        <f aca="false">Po_izvorima!C31-Po_izvorima!C55</f>
        <v>0</v>
      </c>
      <c r="D29" s="8" t="n">
        <f aca="false">Po_izvorima!D31-Po_izvorima!D55</f>
        <v>0</v>
      </c>
      <c r="E29" s="8" t="n">
        <f aca="false">Po_izvorima!E31-Po_izvorima!E55</f>
        <v>0</v>
      </c>
    </row>
    <row r="30" customFormat="false" ht="15" hidden="false" customHeight="false" outlineLevel="0" collapsed="false">
      <c r="A30" s="6"/>
      <c r="B30" s="7" t="s">
        <v>34</v>
      </c>
      <c r="C30" s="8" t="n">
        <f aca="false">Posebni_dio!D10-Rashodi_ekonomska!C67</f>
        <v>0</v>
      </c>
      <c r="D30" s="8" t="n">
        <f aca="false">Posebni_dio!E10-Rashodi_ekonomska!D67</f>
        <v>0</v>
      </c>
      <c r="E30" s="8" t="n">
        <f aca="false">Posebni_dio!F10-Rashodi_ekonomska!E67</f>
        <v>0</v>
      </c>
    </row>
    <row r="32" customFormat="false" ht="15" hidden="false" customHeight="false" outlineLevel="0" collapsed="false">
      <c r="A32" s="1" t="s">
        <v>35</v>
      </c>
    </row>
    <row r="33" customFormat="false" ht="15" hidden="false" customHeight="false" outlineLevel="0" collapsed="false">
      <c r="A33" s="19" t="s">
        <v>36</v>
      </c>
    </row>
    <row r="34" customFormat="false" ht="15" hidden="false" customHeight="false" outlineLevel="0" collapsed="false">
      <c r="A34" s="19" t="s">
        <v>37</v>
      </c>
    </row>
    <row r="35" customFormat="false" ht="15" hidden="false" customHeight="false" outlineLevel="0" collapsed="false">
      <c r="A35" s="19" t="s">
        <v>38</v>
      </c>
    </row>
    <row r="36" customFormat="false" ht="15" hidden="false" customHeight="false" outlineLevel="0" collapsed="false">
      <c r="A36" s="19" t="s">
        <v>39</v>
      </c>
    </row>
    <row r="38" customFormat="false" ht="15" hidden="false" customHeight="false" outlineLevel="0" collapsed="false">
      <c r="B38" s="1" t="s">
        <v>40</v>
      </c>
      <c r="C38" s="20"/>
      <c r="D38" s="1" t="s">
        <v>41</v>
      </c>
    </row>
    <row r="40" customFormat="false" ht="15" hidden="false" customHeight="false" outlineLevel="0" collapsed="false">
      <c r="B40" s="2" t="s">
        <v>42</v>
      </c>
      <c r="D40" s="2" t="s">
        <v>43</v>
      </c>
    </row>
  </sheetData>
  <mergeCells count="2">
    <mergeCell ref="A6:E6"/>
    <mergeCell ref="A7:E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3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0"/>
    <col collapsed="false" customWidth="true" hidden="false" outlineLevel="0" max="5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44</v>
      </c>
      <c r="B6" s="3"/>
      <c r="C6" s="3"/>
      <c r="D6" s="3"/>
      <c r="E6" s="3"/>
    </row>
    <row r="7" customFormat="false" ht="15" hidden="false" customHeight="false" outlineLevel="0" collapsed="false">
      <c r="A7" s="4" t="s">
        <v>45</v>
      </c>
      <c r="B7" s="4"/>
      <c r="C7" s="4"/>
      <c r="D7" s="4"/>
      <c r="E7" s="4"/>
    </row>
    <row r="9" customFormat="false" ht="30" hidden="false" customHeight="true" outlineLevel="0" collapsed="false">
      <c r="A9" s="5" t="s">
        <v>46</v>
      </c>
      <c r="B9" s="5" t="s">
        <v>47</v>
      </c>
      <c r="C9" s="5" t="s">
        <v>8</v>
      </c>
      <c r="D9" s="5" t="s">
        <v>9</v>
      </c>
      <c r="E9" s="5" t="s">
        <v>10</v>
      </c>
    </row>
    <row r="10" customFormat="false" ht="15" hidden="false" customHeight="false" outlineLevel="0" collapsed="false">
      <c r="A10" s="16" t="s">
        <v>12</v>
      </c>
      <c r="B10" s="17" t="s">
        <v>13</v>
      </c>
      <c r="C10" s="18" t="n">
        <f aca="false">SUMIFS(Prihodi_detalji!$J$10:$J$22,Prihodi_detalji!$B$10:$B$22,"6")</f>
        <v>3309891.01</v>
      </c>
      <c r="D10" s="18" t="n">
        <f aca="false">SUMIFS(Prihodi_detalji!$K$10:$K$22,Prihodi_detalji!$B$10:$B$22,"6")</f>
        <v>3359539.37</v>
      </c>
      <c r="E10" s="18" t="n">
        <f aca="false">SUMIFS(Prihodi_detalji!$L$10:$L$22,Prihodi_detalji!$B$10:$B$22,"6")</f>
        <v>3409841.28</v>
      </c>
    </row>
    <row r="11" customFormat="false" ht="15" hidden="false" customHeight="false" outlineLevel="0" collapsed="false">
      <c r="A11" s="10" t="s">
        <v>48</v>
      </c>
      <c r="B11" s="11" t="s">
        <v>49</v>
      </c>
      <c r="C11" s="12" t="n">
        <f aca="false">SUMIFS(Prihodi_detalji!$J$10:$J$22,Prihodi_detalji!$C$10:$C$22,"63")</f>
        <v>2782360</v>
      </c>
      <c r="D11" s="12" t="n">
        <f aca="false">SUMIFS(Prihodi_detalji!$K$10:$K$22,Prihodi_detalji!$C$10:$C$22,"63")</f>
        <v>2824095.4</v>
      </c>
      <c r="E11" s="12" t="n">
        <f aca="false">SUMIFS(Prihodi_detalji!$L$10:$L$22,Prihodi_detalji!$C$10:$C$22,"63")</f>
        <v>2866456.81</v>
      </c>
    </row>
    <row r="12" customFormat="false" ht="15" hidden="false" customHeight="false" outlineLevel="0" collapsed="false">
      <c r="A12" s="21" t="s">
        <v>50</v>
      </c>
      <c r="B12" s="22" t="s">
        <v>51</v>
      </c>
      <c r="C12" s="23" t="n">
        <f aca="false">SUMIFS(Prihodi_detalji!$J$10:$J$22,Prihodi_detalji!$D$10:$D$22,"636")</f>
        <v>2729860</v>
      </c>
      <c r="D12" s="23" t="n">
        <f aca="false">SUMIFS(Prihodi_detalji!$K$10:$K$22,Prihodi_detalji!$D$10:$D$22,"636")</f>
        <v>2770807.9</v>
      </c>
      <c r="E12" s="23" t="n">
        <f aca="false">SUMIFS(Prihodi_detalji!$L$10:$L$22,Prihodi_detalji!$D$10:$D$22,"636")</f>
        <v>2812370</v>
      </c>
    </row>
    <row r="13" customFormat="false" ht="15" hidden="false" customHeight="false" outlineLevel="0" collapsed="false">
      <c r="A13" s="6" t="s">
        <v>52</v>
      </c>
      <c r="B13" s="7" t="s">
        <v>53</v>
      </c>
      <c r="C13" s="8" t="n">
        <f aca="false">SUMIFS(Prihodi_detalji!$J$10:$J$22,Prihodi_detalji!$E$10:$E$22,"6361")</f>
        <v>2691860</v>
      </c>
      <c r="D13" s="8" t="n">
        <f aca="false">SUMIFS(Prihodi_detalji!$K$10:$K$22,Prihodi_detalji!$E$10:$E$22,"6361")</f>
        <v>2732237.9</v>
      </c>
      <c r="E13" s="8" t="n">
        <f aca="false">SUMIFS(Prihodi_detalji!$L$10:$L$22,Prihodi_detalji!$E$10:$E$22,"6361")</f>
        <v>2773221.45</v>
      </c>
    </row>
    <row r="14" customFormat="false" ht="15" hidden="false" customHeight="false" outlineLevel="0" collapsed="false">
      <c r="A14" s="6" t="s">
        <v>54</v>
      </c>
      <c r="B14" s="7" t="s">
        <v>55</v>
      </c>
      <c r="C14" s="8" t="n">
        <f aca="false">SUMIFS(Prihodi_detalji!$J$10:$J$22,Prihodi_detalji!$E$10:$E$22,"6362")</f>
        <v>38000</v>
      </c>
      <c r="D14" s="8" t="n">
        <f aca="false">SUMIFS(Prihodi_detalji!$K$10:$K$22,Prihodi_detalji!$E$10:$E$22,"6362")</f>
        <v>38570</v>
      </c>
      <c r="E14" s="8" t="n">
        <f aca="false">SUMIFS(Prihodi_detalji!$L$10:$L$22,Prihodi_detalji!$E$10:$E$22,"6362")</f>
        <v>39148.55</v>
      </c>
    </row>
    <row r="15" customFormat="false" ht="15" hidden="false" customHeight="false" outlineLevel="0" collapsed="false">
      <c r="A15" s="21" t="s">
        <v>56</v>
      </c>
      <c r="B15" s="22" t="s">
        <v>57</v>
      </c>
      <c r="C15" s="23" t="n">
        <f aca="false">SUMIFS(Prihodi_detalji!$J$10:$J$22,Prihodi_detalji!$D$10:$D$22,"639")</f>
        <v>52500</v>
      </c>
      <c r="D15" s="23" t="n">
        <f aca="false">SUMIFS(Prihodi_detalji!$K$10:$K$22,Prihodi_detalji!$D$10:$D$22,"639")</f>
        <v>53287.5</v>
      </c>
      <c r="E15" s="23" t="n">
        <f aca="false">SUMIFS(Prihodi_detalji!$L$10:$L$22,Prihodi_detalji!$D$10:$D$22,"639")</f>
        <v>54086.81</v>
      </c>
    </row>
    <row r="16" customFormat="false" ht="15" hidden="false" customHeight="false" outlineLevel="0" collapsed="false">
      <c r="A16" s="6" t="s">
        <v>58</v>
      </c>
      <c r="B16" s="7" t="s">
        <v>59</v>
      </c>
      <c r="C16" s="8" t="n">
        <f aca="false">SUMIFS(Prihodi_detalji!$J$10:$J$22,Prihodi_detalji!$E$10:$E$22,"6391")</f>
        <v>16000</v>
      </c>
      <c r="D16" s="8" t="n">
        <f aca="false">SUMIFS(Prihodi_detalji!$K$10:$K$22,Prihodi_detalji!$E$10:$E$22,"6391")</f>
        <v>16240</v>
      </c>
      <c r="E16" s="8" t="n">
        <f aca="false">SUMIFS(Prihodi_detalji!$L$10:$L$22,Prihodi_detalji!$E$10:$E$22,"6391")</f>
        <v>16483.6</v>
      </c>
    </row>
    <row r="17" customFormat="false" ht="15" hidden="false" customHeight="false" outlineLevel="0" collapsed="false">
      <c r="A17" s="6" t="s">
        <v>60</v>
      </c>
      <c r="B17" s="7" t="s">
        <v>61</v>
      </c>
      <c r="C17" s="8" t="n">
        <f aca="false">SUMIFS(Prihodi_detalji!$J$10:$J$22,Prihodi_detalji!$E$10:$E$22,"6393")</f>
        <v>36500</v>
      </c>
      <c r="D17" s="8" t="n">
        <f aca="false">SUMIFS(Prihodi_detalji!$K$10:$K$22,Prihodi_detalji!$E$10:$E$22,"6393")</f>
        <v>37047.5</v>
      </c>
      <c r="E17" s="8" t="n">
        <f aca="false">SUMIFS(Prihodi_detalji!$L$10:$L$22,Prihodi_detalji!$E$10:$E$22,"6393")</f>
        <v>37603.21</v>
      </c>
    </row>
    <row r="18" customFormat="false" ht="23.85" hidden="false" customHeight="false" outlineLevel="0" collapsed="false">
      <c r="A18" s="10" t="s">
        <v>62</v>
      </c>
      <c r="B18" s="11" t="s">
        <v>63</v>
      </c>
      <c r="C18" s="12" t="n">
        <f aca="false">SUMIFS(Prihodi_detalji!$J$10:$J$22,Prihodi_detalji!$C$10:$C$22,"65")</f>
        <v>23300</v>
      </c>
      <c r="D18" s="12" t="n">
        <f aca="false">SUMIFS(Prihodi_detalji!$K$10:$K$22,Prihodi_detalji!$C$10:$C$22,"65")</f>
        <v>23649.5</v>
      </c>
      <c r="E18" s="12" t="n">
        <f aca="false">SUMIFS(Prihodi_detalji!$L$10:$L$22,Prihodi_detalji!$C$10:$C$22,"65")</f>
        <v>24004.24</v>
      </c>
    </row>
    <row r="19" customFormat="false" ht="15" hidden="false" customHeight="false" outlineLevel="0" collapsed="false">
      <c r="A19" s="21" t="s">
        <v>64</v>
      </c>
      <c r="B19" s="22" t="s">
        <v>65</v>
      </c>
      <c r="C19" s="23" t="n">
        <f aca="false">SUMIFS(Prihodi_detalji!$J$10:$J$22,Prihodi_detalji!$D$10:$D$22,"652")</f>
        <v>23300</v>
      </c>
      <c r="D19" s="23" t="n">
        <f aca="false">SUMIFS(Prihodi_detalji!$K$10:$K$22,Prihodi_detalji!$D$10:$D$22,"652")</f>
        <v>23649.5</v>
      </c>
      <c r="E19" s="23" t="n">
        <f aca="false">SUMIFS(Prihodi_detalji!$L$10:$L$22,Prihodi_detalji!$D$10:$D$22,"652")</f>
        <v>24004.24</v>
      </c>
    </row>
    <row r="20" customFormat="false" ht="15" hidden="false" customHeight="false" outlineLevel="0" collapsed="false">
      <c r="A20" s="6" t="s">
        <v>66</v>
      </c>
      <c r="B20" s="7" t="s">
        <v>67</v>
      </c>
      <c r="C20" s="8" t="n">
        <f aca="false">SUMIFS(Prihodi_detalji!$J$10:$J$22,Prihodi_detalji!$E$10:$E$22,"6526")</f>
        <v>23300</v>
      </c>
      <c r="D20" s="8" t="n">
        <f aca="false">SUMIFS(Prihodi_detalji!$K$10:$K$22,Prihodi_detalji!$E$10:$E$22,"6526")</f>
        <v>23649.5</v>
      </c>
      <c r="E20" s="8" t="n">
        <f aca="false">SUMIFS(Prihodi_detalji!$L$10:$L$22,Prihodi_detalji!$E$10:$E$22,"6526")</f>
        <v>24004.24</v>
      </c>
    </row>
    <row r="21" customFormat="false" ht="15" hidden="false" customHeight="false" outlineLevel="0" collapsed="false">
      <c r="A21" s="10" t="s">
        <v>68</v>
      </c>
      <c r="B21" s="11" t="s">
        <v>69</v>
      </c>
      <c r="C21" s="12" t="n">
        <f aca="false">SUMIFS(Prihodi_detalji!$J$10:$J$22,Prihodi_detalji!$C$10:$C$22,"66")</f>
        <v>28800</v>
      </c>
      <c r="D21" s="12" t="n">
        <f aca="false">SUMIFS(Prihodi_detalji!$K$10:$K$22,Prihodi_detalji!$C$10:$C$22,"66")</f>
        <v>29232</v>
      </c>
      <c r="E21" s="12" t="n">
        <f aca="false">SUMIFS(Prihodi_detalji!$L$10:$L$22,Prihodi_detalji!$C$10:$C$22,"66")</f>
        <v>29670.48</v>
      </c>
    </row>
    <row r="22" customFormat="false" ht="15" hidden="false" customHeight="false" outlineLevel="0" collapsed="false">
      <c r="A22" s="21" t="s">
        <v>70</v>
      </c>
      <c r="B22" s="22" t="s">
        <v>71</v>
      </c>
      <c r="C22" s="23" t="n">
        <f aca="false">SUMIFS(Prihodi_detalji!$J$10:$J$22,Prihodi_detalji!$D$10:$D$22,"661")</f>
        <v>28800</v>
      </c>
      <c r="D22" s="23" t="n">
        <f aca="false">SUMIFS(Prihodi_detalji!$K$10:$K$22,Prihodi_detalji!$D$10:$D$22,"661")</f>
        <v>29232</v>
      </c>
      <c r="E22" s="23" t="n">
        <f aca="false">SUMIFS(Prihodi_detalji!$L$10:$L$22,Prihodi_detalji!$D$10:$D$22,"661")</f>
        <v>29670.48</v>
      </c>
    </row>
    <row r="23" customFormat="false" ht="15" hidden="false" customHeight="false" outlineLevel="0" collapsed="false">
      <c r="A23" s="6" t="s">
        <v>72</v>
      </c>
      <c r="B23" s="7" t="s">
        <v>73</v>
      </c>
      <c r="C23" s="8" t="n">
        <f aca="false">SUMIFS(Prihodi_detalji!$J$10:$J$22,Prihodi_detalji!$E$10:$E$22,"6615")</f>
        <v>28800</v>
      </c>
      <c r="D23" s="8" t="n">
        <f aca="false">SUMIFS(Prihodi_detalji!$K$10:$K$22,Prihodi_detalji!$E$10:$E$22,"6615")</f>
        <v>29232</v>
      </c>
      <c r="E23" s="8" t="n">
        <f aca="false">SUMIFS(Prihodi_detalji!$L$10:$L$22,Prihodi_detalji!$E$10:$E$22,"6615")</f>
        <v>29670.48</v>
      </c>
    </row>
    <row r="24" customFormat="false" ht="15" hidden="false" customHeight="false" outlineLevel="0" collapsed="false">
      <c r="A24" s="10" t="s">
        <v>74</v>
      </c>
      <c r="B24" s="11" t="s">
        <v>75</v>
      </c>
      <c r="C24" s="12" t="n">
        <f aca="false">SUMIFS(Prihodi_detalji!$J$10:$J$22,Prihodi_detalji!$C$10:$C$22,"67")</f>
        <v>475431.01</v>
      </c>
      <c r="D24" s="12" t="n">
        <f aca="false">SUMIFS(Prihodi_detalji!$K$10:$K$22,Prihodi_detalji!$C$10:$C$22,"67")</f>
        <v>482562.47</v>
      </c>
      <c r="E24" s="12" t="n">
        <f aca="false">SUMIFS(Prihodi_detalji!$L$10:$L$22,Prihodi_detalji!$C$10:$C$22,"67")</f>
        <v>489709.75</v>
      </c>
    </row>
    <row r="25" customFormat="false" ht="23.85" hidden="false" customHeight="false" outlineLevel="0" collapsed="false">
      <c r="A25" s="21" t="s">
        <v>76</v>
      </c>
      <c r="B25" s="22" t="s">
        <v>77</v>
      </c>
      <c r="C25" s="23" t="n">
        <f aca="false">SUMIFS(Prihodi_detalji!$J$10:$J$22,Prihodi_detalji!$D$10:$D$22,"671")</f>
        <v>475431.01</v>
      </c>
      <c r="D25" s="23" t="n">
        <f aca="false">SUMIFS(Prihodi_detalji!$K$10:$K$22,Prihodi_detalji!$D$10:$D$22,"671")</f>
        <v>482562.47</v>
      </c>
      <c r="E25" s="23" t="n">
        <f aca="false">SUMIFS(Prihodi_detalji!$L$10:$L$22,Prihodi_detalji!$D$10:$D$22,"671")</f>
        <v>489709.75</v>
      </c>
    </row>
    <row r="26" customFormat="false" ht="15" hidden="false" customHeight="false" outlineLevel="0" collapsed="false">
      <c r="A26" s="6" t="s">
        <v>78</v>
      </c>
      <c r="B26" s="7" t="s">
        <v>79</v>
      </c>
      <c r="C26" s="8" t="n">
        <f aca="false">SUMIFS(Prihodi_detalji!$J$10:$J$22,Prihodi_detalji!$E$10:$E$22,"6711")</f>
        <v>475431.01</v>
      </c>
      <c r="D26" s="8" t="n">
        <f aca="false">SUMIFS(Prihodi_detalji!$K$10:$K$22,Prihodi_detalji!$E$10:$E$22,"6711")</f>
        <v>482562.47</v>
      </c>
      <c r="E26" s="8" t="n">
        <f aca="false">SUMIFS(Prihodi_detalji!$L$10:$L$22,Prihodi_detalji!$E$10:$E$22,"6711")</f>
        <v>489709.75</v>
      </c>
    </row>
    <row r="27" customFormat="false" ht="15" hidden="false" customHeight="false" outlineLevel="0" collapsed="false">
      <c r="A27" s="16" t="s">
        <v>30</v>
      </c>
      <c r="B27" s="17" t="s">
        <v>80</v>
      </c>
      <c r="C27" s="18" t="n">
        <f aca="false">SUMIFS(Prihodi_detalji!$J$10:$J$22,Prihodi_detalji!$B$10:$B$22,"9")</f>
        <v>61867.33</v>
      </c>
      <c r="D27" s="18" t="n">
        <f aca="false">SUMIFS(Prihodi_detalji!$K$10:$K$22,Prihodi_detalji!$B$10:$B$22,"9")</f>
        <v>62795.34</v>
      </c>
      <c r="E27" s="18" t="n">
        <f aca="false">SUMIFS(Prihodi_detalji!$L$10:$L$22,Prihodi_detalji!$B$10:$B$22,"9")</f>
        <v>63737.28</v>
      </c>
    </row>
    <row r="28" customFormat="false" ht="15" hidden="false" customHeight="false" outlineLevel="0" collapsed="false">
      <c r="A28" s="10" t="s">
        <v>81</v>
      </c>
      <c r="B28" s="11" t="s">
        <v>82</v>
      </c>
      <c r="C28" s="12" t="n">
        <f aca="false">SUMIFS(Prihodi_detalji!$J$10:$J$22,Prihodi_detalji!$C$10:$C$22,"92")</f>
        <v>61867.33</v>
      </c>
      <c r="D28" s="12" t="n">
        <f aca="false">SUMIFS(Prihodi_detalji!$K$10:$K$22,Prihodi_detalji!$C$10:$C$22,"92")</f>
        <v>62795.34</v>
      </c>
      <c r="E28" s="12" t="n">
        <f aca="false">SUMIFS(Prihodi_detalji!$L$10:$L$22,Prihodi_detalji!$C$10:$C$22,"92")</f>
        <v>63737.28</v>
      </c>
    </row>
    <row r="29" customFormat="false" ht="15" hidden="false" customHeight="false" outlineLevel="0" collapsed="false">
      <c r="A29" s="21" t="s">
        <v>83</v>
      </c>
      <c r="B29" s="22" t="s">
        <v>84</v>
      </c>
      <c r="C29" s="23" t="n">
        <f aca="false">SUMIFS(Prihodi_detalji!$J$10:$J$22,Prihodi_detalji!$D$10:$D$22,"922")</f>
        <v>61867.33</v>
      </c>
      <c r="D29" s="23" t="n">
        <f aca="false">SUMIFS(Prihodi_detalji!$K$10:$K$22,Prihodi_detalji!$D$10:$D$22,"922")</f>
        <v>62795.34</v>
      </c>
      <c r="E29" s="23" t="n">
        <f aca="false">SUMIFS(Prihodi_detalji!$L$10:$L$22,Prihodi_detalji!$D$10:$D$22,"922")</f>
        <v>63737.28</v>
      </c>
    </row>
    <row r="30" customFormat="false" ht="15" hidden="false" customHeight="false" outlineLevel="0" collapsed="false">
      <c r="A30" s="6" t="s">
        <v>85</v>
      </c>
      <c r="B30" s="7" t="s">
        <v>86</v>
      </c>
      <c r="C30" s="8" t="n">
        <f aca="false">SUMIFS(Prihodi_detalji!$J$10:$J$22,Prihodi_detalji!$E$10:$E$22,"9221")</f>
        <v>61867.33</v>
      </c>
      <c r="D30" s="8" t="n">
        <f aca="false">SUMIFS(Prihodi_detalji!$K$10:$K$22,Prihodi_detalji!$E$10:$E$22,"9221")</f>
        <v>62795.34</v>
      </c>
      <c r="E30" s="8" t="n">
        <f aca="false">SUMIFS(Prihodi_detalji!$L$10:$L$22,Prihodi_detalji!$E$10:$E$22,"9221")</f>
        <v>63737.28</v>
      </c>
    </row>
  </sheetData>
  <mergeCells count="2">
    <mergeCell ref="A6:E6"/>
    <mergeCell ref="A7:E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6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70"/>
    <col collapsed="false" customWidth="true" hidden="false" outlineLevel="0" max="5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87</v>
      </c>
      <c r="B6" s="3"/>
      <c r="C6" s="3"/>
      <c r="D6" s="3"/>
      <c r="E6" s="3"/>
    </row>
    <row r="7" customFormat="false" ht="15" hidden="false" customHeight="false" outlineLevel="0" collapsed="false">
      <c r="A7" s="4" t="s">
        <v>45</v>
      </c>
      <c r="B7" s="4"/>
      <c r="C7" s="4"/>
      <c r="D7" s="4"/>
      <c r="E7" s="4"/>
    </row>
    <row r="9" customFormat="false" ht="30" hidden="false" customHeight="true" outlineLevel="0" collapsed="false">
      <c r="A9" s="5" t="s">
        <v>46</v>
      </c>
      <c r="B9" s="5" t="s">
        <v>47</v>
      </c>
      <c r="C9" s="5" t="s">
        <v>8</v>
      </c>
      <c r="D9" s="5" t="s">
        <v>9</v>
      </c>
      <c r="E9" s="5" t="s">
        <v>10</v>
      </c>
    </row>
    <row r="10" customFormat="false" ht="15" hidden="false" customHeight="false" outlineLevel="0" collapsed="false">
      <c r="A10" s="16" t="s">
        <v>17</v>
      </c>
      <c r="B10" s="17" t="s">
        <v>18</v>
      </c>
      <c r="C10" s="18" t="n">
        <f aca="false">SUMIFS(Rashodi_detalji!$L$10:$L$85,Rashodi_detalji!$G$10:$G$85,"3")</f>
        <v>3257621</v>
      </c>
      <c r="D10" s="18" t="n">
        <f aca="false">SUMIFS(Rashodi_detalji!$M$10:$M$85,Rashodi_detalji!$G$10:$G$85,"3")</f>
        <v>3306485.31</v>
      </c>
      <c r="E10" s="18" t="n">
        <f aca="false">SUMIFS(Rashodi_detalji!$N$10:$N$85,Rashodi_detalji!$G$10:$G$85,"3")</f>
        <v>3355991.41</v>
      </c>
    </row>
    <row r="11" customFormat="false" ht="15" hidden="false" customHeight="false" outlineLevel="0" collapsed="false">
      <c r="A11" s="10" t="s">
        <v>88</v>
      </c>
      <c r="B11" s="11" t="s">
        <v>89</v>
      </c>
      <c r="C11" s="12" t="n">
        <f aca="false">SUMIFS(Rashodi_detalji!$L$10:$L$85,Rashodi_detalji!$H$10:$H$85,"31")</f>
        <v>2462800</v>
      </c>
      <c r="D11" s="12" t="n">
        <f aca="false">SUMIFS(Rashodi_detalji!$M$10:$M$85,Rashodi_detalji!$H$10:$H$85,"31")</f>
        <v>2499742</v>
      </c>
      <c r="E11" s="12" t="n">
        <f aca="false">SUMIFS(Rashodi_detalji!$N$10:$N$85,Rashodi_detalji!$H$10:$H$85,"31")</f>
        <v>2537238.12</v>
      </c>
    </row>
    <row r="12" customFormat="false" ht="15" hidden="false" customHeight="false" outlineLevel="0" collapsed="false">
      <c r="A12" s="21" t="s">
        <v>90</v>
      </c>
      <c r="B12" s="22" t="s">
        <v>91</v>
      </c>
      <c r="C12" s="23" t="n">
        <f aca="false">SUMIFS(Rashodi_detalji!$L$10:$L$85,Rashodi_detalji!$I$10:$I$85,"311")</f>
        <v>2004500</v>
      </c>
      <c r="D12" s="23" t="n">
        <f aca="false">SUMIFS(Rashodi_detalji!$M$10:$M$85,Rashodi_detalji!$I$10:$I$85,"311")</f>
        <v>2034567.5</v>
      </c>
      <c r="E12" s="23" t="n">
        <f aca="false">SUMIFS(Rashodi_detalji!$N$10:$N$85,Rashodi_detalji!$I$10:$I$85,"311")</f>
        <v>2065086.01</v>
      </c>
    </row>
    <row r="13" customFormat="false" ht="15" hidden="false" customHeight="false" outlineLevel="0" collapsed="false">
      <c r="A13" s="6" t="s">
        <v>92</v>
      </c>
      <c r="B13" s="7" t="s">
        <v>93</v>
      </c>
      <c r="C13" s="8" t="n">
        <f aca="false">SUMIFS(Rashodi_detalji!$L$10:$L$85,Rashodi_detalji!$J$10:$J$85,"3111")</f>
        <v>2004500</v>
      </c>
      <c r="D13" s="8" t="n">
        <f aca="false">SUMIFS(Rashodi_detalji!$M$10:$M$85,Rashodi_detalji!$J$10:$J$85,"3111")</f>
        <v>2034567.5</v>
      </c>
      <c r="E13" s="8" t="n">
        <f aca="false">SUMIFS(Rashodi_detalji!$N$10:$N$85,Rashodi_detalji!$J$10:$J$85,"3111")</f>
        <v>2065086.01</v>
      </c>
    </row>
    <row r="14" customFormat="false" ht="15" hidden="false" customHeight="false" outlineLevel="0" collapsed="false">
      <c r="A14" s="21" t="s">
        <v>94</v>
      </c>
      <c r="B14" s="22" t="s">
        <v>95</v>
      </c>
      <c r="C14" s="23" t="n">
        <f aca="false">SUMIFS(Rashodi_detalji!$L$10:$L$85,Rashodi_detalji!$I$10:$I$85,"312")</f>
        <v>116300</v>
      </c>
      <c r="D14" s="23" t="n">
        <f aca="false">SUMIFS(Rashodi_detalji!$M$10:$M$85,Rashodi_detalji!$I$10:$I$85,"312")</f>
        <v>118044.5</v>
      </c>
      <c r="E14" s="23" t="n">
        <f aca="false">SUMIFS(Rashodi_detalji!$N$10:$N$85,Rashodi_detalji!$I$10:$I$85,"312")</f>
        <v>119815.16</v>
      </c>
    </row>
    <row r="15" customFormat="false" ht="15" hidden="false" customHeight="false" outlineLevel="0" collapsed="false">
      <c r="A15" s="6" t="s">
        <v>96</v>
      </c>
      <c r="B15" s="7" t="s">
        <v>95</v>
      </c>
      <c r="C15" s="8" t="n">
        <f aca="false">SUMIFS(Rashodi_detalji!$L$10:$L$85,Rashodi_detalji!$J$10:$J$85,"3121")</f>
        <v>116300</v>
      </c>
      <c r="D15" s="8" t="n">
        <f aca="false">SUMIFS(Rashodi_detalji!$M$10:$M$85,Rashodi_detalji!$J$10:$J$85,"3121")</f>
        <v>118044.5</v>
      </c>
      <c r="E15" s="8" t="n">
        <f aca="false">SUMIFS(Rashodi_detalji!$N$10:$N$85,Rashodi_detalji!$J$10:$J$85,"3121")</f>
        <v>119815.16</v>
      </c>
    </row>
    <row r="16" customFormat="false" ht="15" hidden="false" customHeight="false" outlineLevel="0" collapsed="false">
      <c r="A16" s="21" t="s">
        <v>97</v>
      </c>
      <c r="B16" s="22" t="s">
        <v>98</v>
      </c>
      <c r="C16" s="23" t="n">
        <f aca="false">SUMIFS(Rashodi_detalji!$L$10:$L$85,Rashodi_detalji!$I$10:$I$85,"313")</f>
        <v>342000</v>
      </c>
      <c r="D16" s="23" t="n">
        <f aca="false">SUMIFS(Rashodi_detalji!$M$10:$M$85,Rashodi_detalji!$I$10:$I$85,"313")</f>
        <v>347130</v>
      </c>
      <c r="E16" s="23" t="n">
        <f aca="false">SUMIFS(Rashodi_detalji!$N$10:$N$85,Rashodi_detalji!$I$10:$I$85,"313")</f>
        <v>352336.95</v>
      </c>
    </row>
    <row r="17" customFormat="false" ht="15" hidden="false" customHeight="false" outlineLevel="0" collapsed="false">
      <c r="A17" s="6" t="s">
        <v>99</v>
      </c>
      <c r="B17" s="7" t="s">
        <v>100</v>
      </c>
      <c r="C17" s="8" t="n">
        <f aca="false">SUMIFS(Rashodi_detalji!$L$10:$L$85,Rashodi_detalji!$J$10:$J$85,"3132")</f>
        <v>342000</v>
      </c>
      <c r="D17" s="8" t="n">
        <f aca="false">SUMIFS(Rashodi_detalji!$M$10:$M$85,Rashodi_detalji!$J$10:$J$85,"3132")</f>
        <v>347130</v>
      </c>
      <c r="E17" s="8" t="n">
        <f aca="false">SUMIFS(Rashodi_detalji!$N$10:$N$85,Rashodi_detalji!$J$10:$J$85,"3132")</f>
        <v>352336.95</v>
      </c>
    </row>
    <row r="18" customFormat="false" ht="15" hidden="false" customHeight="false" outlineLevel="0" collapsed="false">
      <c r="A18" s="10" t="s">
        <v>101</v>
      </c>
      <c r="B18" s="11" t="s">
        <v>102</v>
      </c>
      <c r="C18" s="12" t="n">
        <f aca="false">SUMIFS(Rashodi_detalji!$L$10:$L$85,Rashodi_detalji!$H$10:$H$85,"32")</f>
        <v>741761</v>
      </c>
      <c r="D18" s="12" t="n">
        <f aca="false">SUMIFS(Rashodi_detalji!$M$10:$M$85,Rashodi_detalji!$H$10:$H$85,"32")</f>
        <v>752887.41</v>
      </c>
      <c r="E18" s="12" t="n">
        <f aca="false">SUMIFS(Rashodi_detalji!$N$10:$N$85,Rashodi_detalji!$H$10:$H$85,"32")</f>
        <v>764089.76</v>
      </c>
    </row>
    <row r="19" customFormat="false" ht="15" hidden="false" customHeight="false" outlineLevel="0" collapsed="false">
      <c r="A19" s="21" t="s">
        <v>103</v>
      </c>
      <c r="B19" s="22" t="s">
        <v>104</v>
      </c>
      <c r="C19" s="23" t="n">
        <f aca="false">SUMIFS(Rashodi_detalji!$L$10:$L$85,Rashodi_detalji!$I$10:$I$85,"321")</f>
        <v>171500</v>
      </c>
      <c r="D19" s="23" t="n">
        <f aca="false">SUMIFS(Rashodi_detalji!$M$10:$M$85,Rashodi_detalji!$I$10:$I$85,"321")</f>
        <v>174072.5</v>
      </c>
      <c r="E19" s="23" t="n">
        <f aca="false">SUMIFS(Rashodi_detalji!$N$10:$N$85,Rashodi_detalji!$I$10:$I$85,"321")</f>
        <v>176682.24</v>
      </c>
    </row>
    <row r="20" customFormat="false" ht="15" hidden="false" customHeight="false" outlineLevel="0" collapsed="false">
      <c r="A20" s="6" t="s">
        <v>105</v>
      </c>
      <c r="B20" s="7" t="s">
        <v>106</v>
      </c>
      <c r="C20" s="8" t="n">
        <f aca="false">SUMIFS(Rashodi_detalji!$L$10:$L$85,Rashodi_detalji!$J$10:$J$85,"3211")</f>
        <v>3500</v>
      </c>
      <c r="D20" s="8" t="n">
        <f aca="false">SUMIFS(Rashodi_detalji!$M$10:$M$85,Rashodi_detalji!$J$10:$J$85,"3211")</f>
        <v>3552.5</v>
      </c>
      <c r="E20" s="8" t="n">
        <f aca="false">SUMIFS(Rashodi_detalji!$N$10:$N$85,Rashodi_detalji!$J$10:$J$85,"3211")</f>
        <v>3605</v>
      </c>
    </row>
    <row r="21" customFormat="false" ht="15" hidden="false" customHeight="false" outlineLevel="0" collapsed="false">
      <c r="A21" s="6" t="s">
        <v>107</v>
      </c>
      <c r="B21" s="7" t="s">
        <v>108</v>
      </c>
      <c r="C21" s="8" t="n">
        <f aca="false">SUMIFS(Rashodi_detalji!$L$10:$L$85,Rashodi_detalji!$J$10:$J$85,"3212")</f>
        <v>161500</v>
      </c>
      <c r="D21" s="8" t="n">
        <f aca="false">SUMIFS(Rashodi_detalji!$M$10:$M$85,Rashodi_detalji!$J$10:$J$85,"3212")</f>
        <v>163922.5</v>
      </c>
      <c r="E21" s="8" t="n">
        <f aca="false">SUMIFS(Rashodi_detalji!$N$10:$N$85,Rashodi_detalji!$J$10:$J$85,"3212")</f>
        <v>166381.34</v>
      </c>
    </row>
    <row r="22" customFormat="false" ht="15" hidden="false" customHeight="false" outlineLevel="0" collapsed="false">
      <c r="A22" s="6" t="s">
        <v>109</v>
      </c>
      <c r="B22" s="7" t="s">
        <v>110</v>
      </c>
      <c r="C22" s="8" t="n">
        <f aca="false">SUMIFS(Rashodi_detalji!$L$10:$L$85,Rashodi_detalji!$J$10:$J$85,"3213")</f>
        <v>5500</v>
      </c>
      <c r="D22" s="8" t="n">
        <f aca="false">SUMIFS(Rashodi_detalji!$M$10:$M$85,Rashodi_detalji!$J$10:$J$85,"3213")</f>
        <v>5582.5</v>
      </c>
      <c r="E22" s="8" t="n">
        <f aca="false">SUMIFS(Rashodi_detalji!$N$10:$N$85,Rashodi_detalji!$J$10:$J$85,"3213")</f>
        <v>5665.9</v>
      </c>
    </row>
    <row r="23" customFormat="false" ht="15" hidden="false" customHeight="false" outlineLevel="0" collapsed="false">
      <c r="A23" s="6" t="s">
        <v>111</v>
      </c>
      <c r="B23" s="7" t="s">
        <v>112</v>
      </c>
      <c r="C23" s="8" t="n">
        <f aca="false">SUMIFS(Rashodi_detalji!$L$10:$L$85,Rashodi_detalji!$J$10:$J$85,"3214")</f>
        <v>1000</v>
      </c>
      <c r="D23" s="8" t="n">
        <f aca="false">SUMIFS(Rashodi_detalji!$M$10:$M$85,Rashodi_detalji!$J$10:$J$85,"3214")</f>
        <v>1015</v>
      </c>
      <c r="E23" s="8" t="n">
        <f aca="false">SUMIFS(Rashodi_detalji!$N$10:$N$85,Rashodi_detalji!$J$10:$J$85,"3214")</f>
        <v>1030</v>
      </c>
    </row>
    <row r="24" customFormat="false" ht="15" hidden="false" customHeight="false" outlineLevel="0" collapsed="false">
      <c r="A24" s="21" t="s">
        <v>113</v>
      </c>
      <c r="B24" s="22" t="s">
        <v>114</v>
      </c>
      <c r="C24" s="23" t="n">
        <f aca="false">SUMIFS(Rashodi_detalji!$L$10:$L$85,Rashodi_detalji!$I$10:$I$85,"322")</f>
        <v>221264.95</v>
      </c>
      <c r="D24" s="23" t="n">
        <f aca="false">SUMIFS(Rashodi_detalji!$M$10:$M$85,Rashodi_detalji!$I$10:$I$85,"322")</f>
        <v>224583.92</v>
      </c>
      <c r="E24" s="23" t="n">
        <f aca="false">SUMIFS(Rashodi_detalji!$N$10:$N$85,Rashodi_detalji!$I$10:$I$85,"322")</f>
        <v>227934.85</v>
      </c>
    </row>
    <row r="25" customFormat="false" ht="15" hidden="false" customHeight="false" outlineLevel="0" collapsed="false">
      <c r="A25" s="6" t="s">
        <v>115</v>
      </c>
      <c r="B25" s="7" t="s">
        <v>116</v>
      </c>
      <c r="C25" s="8" t="n">
        <f aca="false">SUMIFS(Rashodi_detalji!$L$10:$L$85,Rashodi_detalji!$J$10:$J$85,"3221")</f>
        <v>7500</v>
      </c>
      <c r="D25" s="8" t="n">
        <f aca="false">SUMIFS(Rashodi_detalji!$M$10:$M$85,Rashodi_detalji!$J$10:$J$85,"3221")</f>
        <v>7612.5</v>
      </c>
      <c r="E25" s="8" t="n">
        <f aca="false">SUMIFS(Rashodi_detalji!$N$10:$N$85,Rashodi_detalji!$J$10:$J$85,"3221")</f>
        <v>7725</v>
      </c>
    </row>
    <row r="26" customFormat="false" ht="15" hidden="false" customHeight="false" outlineLevel="0" collapsed="false">
      <c r="A26" s="6" t="s">
        <v>117</v>
      </c>
      <c r="B26" s="7" t="s">
        <v>118</v>
      </c>
      <c r="C26" s="8" t="n">
        <f aca="false">SUMIFS(Rashodi_detalji!$L$10:$L$85,Rashodi_detalji!$J$10:$J$85,"3222")</f>
        <v>140000</v>
      </c>
      <c r="D26" s="8" t="n">
        <f aca="false">SUMIFS(Rashodi_detalji!$M$10:$M$85,Rashodi_detalji!$J$10:$J$85,"3222")</f>
        <v>142100</v>
      </c>
      <c r="E26" s="8" t="n">
        <f aca="false">SUMIFS(Rashodi_detalji!$N$10:$N$85,Rashodi_detalji!$J$10:$J$85,"3222")</f>
        <v>144231.04</v>
      </c>
    </row>
    <row r="27" customFormat="false" ht="15" hidden="false" customHeight="false" outlineLevel="0" collapsed="false">
      <c r="A27" s="6" t="s">
        <v>119</v>
      </c>
      <c r="B27" s="7" t="s">
        <v>120</v>
      </c>
      <c r="C27" s="8" t="n">
        <f aca="false">SUMIFS(Rashodi_detalji!$L$10:$L$85,Rashodi_detalji!$J$10:$J$85,"3223")</f>
        <v>64764.95</v>
      </c>
      <c r="D27" s="8" t="n">
        <f aca="false">SUMIFS(Rashodi_detalji!$M$10:$M$85,Rashodi_detalji!$J$10:$J$85,"3223")</f>
        <v>65736.42</v>
      </c>
      <c r="E27" s="8" t="n">
        <f aca="false">SUMIFS(Rashodi_detalji!$N$10:$N$85,Rashodi_detalji!$J$10:$J$85,"3223")</f>
        <v>66707.9</v>
      </c>
    </row>
    <row r="28" customFormat="false" ht="15" hidden="false" customHeight="false" outlineLevel="0" collapsed="false">
      <c r="A28" s="6" t="s">
        <v>121</v>
      </c>
      <c r="B28" s="7" t="s">
        <v>122</v>
      </c>
      <c r="C28" s="8" t="n">
        <f aca="false">SUMIFS(Rashodi_detalji!$L$10:$L$85,Rashodi_detalji!$J$10:$J$85,"3224")</f>
        <v>7000</v>
      </c>
      <c r="D28" s="8" t="n">
        <f aca="false">SUMIFS(Rashodi_detalji!$M$10:$M$85,Rashodi_detalji!$J$10:$J$85,"3224")</f>
        <v>7105</v>
      </c>
      <c r="E28" s="8" t="n">
        <f aca="false">SUMIFS(Rashodi_detalji!$N$10:$N$85,Rashodi_detalji!$J$10:$J$85,"3224")</f>
        <v>7210.91</v>
      </c>
    </row>
    <row r="29" customFormat="false" ht="15" hidden="false" customHeight="false" outlineLevel="0" collapsed="false">
      <c r="A29" s="6" t="s">
        <v>123</v>
      </c>
      <c r="B29" s="7" t="s">
        <v>124</v>
      </c>
      <c r="C29" s="8" t="n">
        <f aca="false">SUMIFS(Rashodi_detalji!$L$10:$L$85,Rashodi_detalji!$J$10:$J$85,"3225")</f>
        <v>500</v>
      </c>
      <c r="D29" s="8" t="n">
        <f aca="false">SUMIFS(Rashodi_detalji!$M$10:$M$85,Rashodi_detalji!$J$10:$J$85,"3225")</f>
        <v>507.5</v>
      </c>
      <c r="E29" s="8" t="n">
        <f aca="false">SUMIFS(Rashodi_detalji!$N$10:$N$85,Rashodi_detalji!$J$10:$J$85,"3225")</f>
        <v>515</v>
      </c>
    </row>
    <row r="30" customFormat="false" ht="15" hidden="false" customHeight="false" outlineLevel="0" collapsed="false">
      <c r="A30" s="6" t="s">
        <v>125</v>
      </c>
      <c r="B30" s="7" t="s">
        <v>126</v>
      </c>
      <c r="C30" s="8" t="n">
        <f aca="false">SUMIFS(Rashodi_detalji!$L$10:$L$85,Rashodi_detalji!$J$10:$J$85,"3227")</f>
        <v>1500</v>
      </c>
      <c r="D30" s="8" t="n">
        <f aca="false">SUMIFS(Rashodi_detalji!$M$10:$M$85,Rashodi_detalji!$J$10:$J$85,"3227")</f>
        <v>1522.5</v>
      </c>
      <c r="E30" s="8" t="n">
        <f aca="false">SUMIFS(Rashodi_detalji!$N$10:$N$85,Rashodi_detalji!$J$10:$J$85,"3227")</f>
        <v>1545</v>
      </c>
    </row>
    <row r="31" customFormat="false" ht="15" hidden="false" customHeight="false" outlineLevel="0" collapsed="false">
      <c r="A31" s="21" t="s">
        <v>127</v>
      </c>
      <c r="B31" s="22" t="s">
        <v>128</v>
      </c>
      <c r="C31" s="23" t="n">
        <f aca="false">SUMIFS(Rashodi_detalji!$L$10:$L$85,Rashodi_detalji!$I$10:$I$85,"323")</f>
        <v>337896.05</v>
      </c>
      <c r="D31" s="23" t="n">
        <f aca="false">SUMIFS(Rashodi_detalji!$M$10:$M$85,Rashodi_detalji!$I$10:$I$85,"323")</f>
        <v>342964.49</v>
      </c>
      <c r="E31" s="23" t="n">
        <f aca="false">SUMIFS(Rashodi_detalji!$N$10:$N$85,Rashodi_detalji!$I$10:$I$85,"323")</f>
        <v>348037.76</v>
      </c>
    </row>
    <row r="32" customFormat="false" ht="15" hidden="false" customHeight="false" outlineLevel="0" collapsed="false">
      <c r="A32" s="6" t="s">
        <v>129</v>
      </c>
      <c r="B32" s="7" t="s">
        <v>130</v>
      </c>
      <c r="C32" s="8" t="n">
        <f aca="false">SUMIFS(Rashodi_detalji!$L$10:$L$85,Rashodi_detalji!$J$10:$J$85,"3231")</f>
        <v>2200</v>
      </c>
      <c r="D32" s="8" t="n">
        <f aca="false">SUMIFS(Rashodi_detalji!$M$10:$M$85,Rashodi_detalji!$J$10:$J$85,"3231")</f>
        <v>2233</v>
      </c>
      <c r="E32" s="8" t="n">
        <f aca="false">SUMIFS(Rashodi_detalji!$N$10:$N$85,Rashodi_detalji!$J$10:$J$85,"3231")</f>
        <v>2266</v>
      </c>
    </row>
    <row r="33" customFormat="false" ht="15" hidden="false" customHeight="false" outlineLevel="0" collapsed="false">
      <c r="A33" s="6" t="s">
        <v>131</v>
      </c>
      <c r="B33" s="7" t="s">
        <v>132</v>
      </c>
      <c r="C33" s="8" t="n">
        <f aca="false">SUMIFS(Rashodi_detalji!$L$10:$L$85,Rashodi_detalji!$J$10:$J$85,"3232")</f>
        <v>14996.05</v>
      </c>
      <c r="D33" s="8" t="n">
        <f aca="false">SUMIFS(Rashodi_detalji!$M$10:$M$85,Rashodi_detalji!$J$10:$J$85,"3232")</f>
        <v>15220.99</v>
      </c>
      <c r="E33" s="8" t="n">
        <f aca="false">SUMIFS(Rashodi_detalji!$N$10:$N$85,Rashodi_detalji!$J$10:$J$85,"3232")</f>
        <v>15447.73</v>
      </c>
    </row>
    <row r="34" customFormat="false" ht="15" hidden="false" customHeight="false" outlineLevel="0" collapsed="false">
      <c r="A34" s="6" t="s">
        <v>133</v>
      </c>
      <c r="B34" s="7" t="s">
        <v>134</v>
      </c>
      <c r="C34" s="8" t="n">
        <f aca="false">SUMIFS(Rashodi_detalji!$L$10:$L$85,Rashodi_detalji!$J$10:$J$85,"3234")</f>
        <v>24000</v>
      </c>
      <c r="D34" s="8" t="n">
        <f aca="false">SUMIFS(Rashodi_detalji!$M$10:$M$85,Rashodi_detalji!$J$10:$J$85,"3234")</f>
        <v>24360</v>
      </c>
      <c r="E34" s="8" t="n">
        <f aca="false">SUMIFS(Rashodi_detalji!$N$10:$N$85,Rashodi_detalji!$J$10:$J$85,"3234")</f>
        <v>24720.45</v>
      </c>
    </row>
    <row r="35" customFormat="false" ht="15" hidden="false" customHeight="false" outlineLevel="0" collapsed="false">
      <c r="A35" s="6" t="s">
        <v>135</v>
      </c>
      <c r="B35" s="7" t="s">
        <v>136</v>
      </c>
      <c r="C35" s="8" t="n">
        <f aca="false">SUMIFS(Rashodi_detalji!$L$10:$L$85,Rashodi_detalji!$J$10:$J$85,"3235")</f>
        <v>278400</v>
      </c>
      <c r="D35" s="8" t="n">
        <f aca="false">SUMIFS(Rashodi_detalji!$M$10:$M$85,Rashodi_detalji!$J$10:$J$85,"3235")</f>
        <v>282576</v>
      </c>
      <c r="E35" s="8" t="n">
        <f aca="false">SUMIFS(Rashodi_detalji!$N$10:$N$85,Rashodi_detalji!$J$10:$J$85,"3235")</f>
        <v>286753.8</v>
      </c>
    </row>
    <row r="36" customFormat="false" ht="15" hidden="false" customHeight="false" outlineLevel="0" collapsed="false">
      <c r="A36" s="6" t="s">
        <v>137</v>
      </c>
      <c r="B36" s="7" t="s">
        <v>138</v>
      </c>
      <c r="C36" s="8" t="n">
        <f aca="false">SUMIFS(Rashodi_detalji!$L$10:$L$85,Rashodi_detalji!$J$10:$J$85,"3236")</f>
        <v>7300</v>
      </c>
      <c r="D36" s="8" t="n">
        <f aca="false">SUMIFS(Rashodi_detalji!$M$10:$M$85,Rashodi_detalji!$J$10:$J$85,"3236")</f>
        <v>7409.5</v>
      </c>
      <c r="E36" s="8" t="n">
        <f aca="false">SUMIFS(Rashodi_detalji!$N$10:$N$85,Rashodi_detalji!$J$10:$J$85,"3236")</f>
        <v>7519</v>
      </c>
    </row>
    <row r="37" customFormat="false" ht="15" hidden="false" customHeight="false" outlineLevel="0" collapsed="false">
      <c r="A37" s="6" t="s">
        <v>139</v>
      </c>
      <c r="B37" s="7" t="s">
        <v>140</v>
      </c>
      <c r="C37" s="8" t="n">
        <f aca="false">SUMIFS(Rashodi_detalji!$L$10:$L$85,Rashodi_detalji!$J$10:$J$85,"3237")</f>
        <v>4500</v>
      </c>
      <c r="D37" s="8" t="n">
        <f aca="false">SUMIFS(Rashodi_detalji!$M$10:$M$85,Rashodi_detalji!$J$10:$J$85,"3237")</f>
        <v>4567.5</v>
      </c>
      <c r="E37" s="8" t="n">
        <f aca="false">SUMIFS(Rashodi_detalji!$N$10:$N$85,Rashodi_detalji!$J$10:$J$85,"3237")</f>
        <v>4635.45</v>
      </c>
    </row>
    <row r="38" customFormat="false" ht="15" hidden="false" customHeight="false" outlineLevel="0" collapsed="false">
      <c r="A38" s="6" t="s">
        <v>141</v>
      </c>
      <c r="B38" s="7" t="s">
        <v>142</v>
      </c>
      <c r="C38" s="8" t="n">
        <f aca="false">SUMIFS(Rashodi_detalji!$L$10:$L$85,Rashodi_detalji!$J$10:$J$85,"3238")</f>
        <v>6000</v>
      </c>
      <c r="D38" s="8" t="n">
        <f aca="false">SUMIFS(Rashodi_detalji!$M$10:$M$85,Rashodi_detalji!$J$10:$J$85,"3238")</f>
        <v>6090</v>
      </c>
      <c r="E38" s="8" t="n">
        <f aca="false">SUMIFS(Rashodi_detalji!$N$10:$N$85,Rashodi_detalji!$J$10:$J$85,"3238")</f>
        <v>6180.22</v>
      </c>
    </row>
    <row r="39" customFormat="false" ht="15" hidden="false" customHeight="false" outlineLevel="0" collapsed="false">
      <c r="A39" s="6" t="s">
        <v>143</v>
      </c>
      <c r="B39" s="7" t="s">
        <v>144</v>
      </c>
      <c r="C39" s="8" t="n">
        <f aca="false">SUMIFS(Rashodi_detalji!$L$10:$L$85,Rashodi_detalji!$J$10:$J$85,"3239")</f>
        <v>500</v>
      </c>
      <c r="D39" s="8" t="n">
        <f aca="false">SUMIFS(Rashodi_detalji!$M$10:$M$85,Rashodi_detalji!$J$10:$J$85,"3239")</f>
        <v>507.5</v>
      </c>
      <c r="E39" s="8" t="n">
        <f aca="false">SUMIFS(Rashodi_detalji!$N$10:$N$85,Rashodi_detalji!$J$10:$J$85,"3239")</f>
        <v>515.11</v>
      </c>
    </row>
    <row r="40" customFormat="false" ht="15" hidden="false" customHeight="false" outlineLevel="0" collapsed="false">
      <c r="A40" s="21" t="s">
        <v>145</v>
      </c>
      <c r="B40" s="22" t="s">
        <v>146</v>
      </c>
      <c r="C40" s="23" t="n">
        <f aca="false">SUMIFS(Rashodi_detalji!$L$10:$L$85,Rashodi_detalji!$I$10:$I$85,"329")</f>
        <v>11100</v>
      </c>
      <c r="D40" s="23" t="n">
        <f aca="false">SUMIFS(Rashodi_detalji!$M$10:$M$85,Rashodi_detalji!$I$10:$I$85,"329")</f>
        <v>11266.5</v>
      </c>
      <c r="E40" s="23" t="n">
        <f aca="false">SUMIFS(Rashodi_detalji!$N$10:$N$85,Rashodi_detalji!$I$10:$I$85,"329")</f>
        <v>11434.91</v>
      </c>
    </row>
    <row r="41" customFormat="false" ht="15" hidden="false" customHeight="false" outlineLevel="0" collapsed="false">
      <c r="A41" s="6" t="s">
        <v>147</v>
      </c>
      <c r="B41" s="7" t="s">
        <v>148</v>
      </c>
      <c r="C41" s="8" t="n">
        <f aca="false">SUMIFS(Rashodi_detalji!$L$10:$L$85,Rashodi_detalji!$J$10:$J$85,"3292")</f>
        <v>2000</v>
      </c>
      <c r="D41" s="8" t="n">
        <f aca="false">SUMIFS(Rashodi_detalji!$M$10:$M$85,Rashodi_detalji!$J$10:$J$85,"3292")</f>
        <v>2030</v>
      </c>
      <c r="E41" s="8" t="n">
        <f aca="false">SUMIFS(Rashodi_detalji!$N$10:$N$85,Rashodi_detalji!$J$10:$J$85,"3292")</f>
        <v>2060</v>
      </c>
    </row>
    <row r="42" customFormat="false" ht="15" hidden="false" customHeight="false" outlineLevel="0" collapsed="false">
      <c r="A42" s="6" t="s">
        <v>149</v>
      </c>
      <c r="B42" s="7" t="s">
        <v>150</v>
      </c>
      <c r="C42" s="8" t="n">
        <f aca="false">SUMIFS(Rashodi_detalji!$L$10:$L$85,Rashodi_detalji!$J$10:$J$85,"3293")</f>
        <v>2000</v>
      </c>
      <c r="D42" s="8" t="n">
        <f aca="false">SUMIFS(Rashodi_detalji!$M$10:$M$85,Rashodi_detalji!$J$10:$J$85,"3293")</f>
        <v>2030</v>
      </c>
      <c r="E42" s="8" t="n">
        <f aca="false">SUMIFS(Rashodi_detalji!$N$10:$N$85,Rashodi_detalji!$J$10:$J$85,"3293")</f>
        <v>2060.45</v>
      </c>
    </row>
    <row r="43" customFormat="false" ht="15" hidden="false" customHeight="false" outlineLevel="0" collapsed="false">
      <c r="A43" s="6" t="s">
        <v>151</v>
      </c>
      <c r="B43" s="7" t="s">
        <v>152</v>
      </c>
      <c r="C43" s="8" t="n">
        <f aca="false">SUMIFS(Rashodi_detalji!$L$10:$L$85,Rashodi_detalji!$J$10:$J$85,"3294")</f>
        <v>600</v>
      </c>
      <c r="D43" s="8" t="n">
        <f aca="false">SUMIFS(Rashodi_detalji!$M$10:$M$85,Rashodi_detalji!$J$10:$J$85,"3294")</f>
        <v>609</v>
      </c>
      <c r="E43" s="8" t="n">
        <f aca="false">SUMIFS(Rashodi_detalji!$N$10:$N$85,Rashodi_detalji!$J$10:$J$85,"3294")</f>
        <v>618</v>
      </c>
    </row>
    <row r="44" customFormat="false" ht="15" hidden="false" customHeight="false" outlineLevel="0" collapsed="false">
      <c r="A44" s="6" t="s">
        <v>153</v>
      </c>
      <c r="B44" s="7" t="s">
        <v>154</v>
      </c>
      <c r="C44" s="8" t="n">
        <f aca="false">SUMIFS(Rashodi_detalji!$L$10:$L$85,Rashodi_detalji!$J$10:$J$85,"3295")</f>
        <v>6500</v>
      </c>
      <c r="D44" s="8" t="n">
        <f aca="false">SUMIFS(Rashodi_detalji!$M$10:$M$85,Rashodi_detalji!$J$10:$J$85,"3295")</f>
        <v>6597.5</v>
      </c>
      <c r="E44" s="8" t="n">
        <f aca="false">SUMIFS(Rashodi_detalji!$N$10:$N$85,Rashodi_detalji!$J$10:$J$85,"3295")</f>
        <v>6696.46</v>
      </c>
    </row>
    <row r="45" customFormat="false" ht="15" hidden="false" customHeight="false" outlineLevel="0" collapsed="false">
      <c r="A45" s="10" t="s">
        <v>155</v>
      </c>
      <c r="B45" s="11" t="s">
        <v>156</v>
      </c>
      <c r="C45" s="12" t="n">
        <f aca="false">SUMIFS(Rashodi_detalji!$L$10:$L$85,Rashodi_detalji!$H$10:$H$85,"34")</f>
        <v>1700</v>
      </c>
      <c r="D45" s="12" t="n">
        <f aca="false">SUMIFS(Rashodi_detalji!$M$10:$M$85,Rashodi_detalji!$H$10:$H$85,"34")</f>
        <v>1725.5</v>
      </c>
      <c r="E45" s="12" t="n">
        <f aca="false">SUMIFS(Rashodi_detalji!$N$10:$N$85,Rashodi_detalji!$H$10:$H$85,"34")</f>
        <v>1751.18</v>
      </c>
    </row>
    <row r="46" customFormat="false" ht="15" hidden="false" customHeight="false" outlineLevel="0" collapsed="false">
      <c r="A46" s="21" t="s">
        <v>157</v>
      </c>
      <c r="B46" s="22" t="s">
        <v>158</v>
      </c>
      <c r="C46" s="23" t="n">
        <f aca="false">SUMIFS(Rashodi_detalji!$L$10:$L$85,Rashodi_detalji!$I$10:$I$85,"343")</f>
        <v>1700</v>
      </c>
      <c r="D46" s="23" t="n">
        <f aca="false">SUMIFS(Rashodi_detalji!$M$10:$M$85,Rashodi_detalji!$I$10:$I$85,"343")</f>
        <v>1725.5</v>
      </c>
      <c r="E46" s="23" t="n">
        <f aca="false">SUMIFS(Rashodi_detalji!$N$10:$N$85,Rashodi_detalji!$I$10:$I$85,"343")</f>
        <v>1751.18</v>
      </c>
    </row>
    <row r="47" customFormat="false" ht="15" hidden="false" customHeight="false" outlineLevel="0" collapsed="false">
      <c r="A47" s="6" t="s">
        <v>159</v>
      </c>
      <c r="B47" s="7" t="s">
        <v>160</v>
      </c>
      <c r="C47" s="8" t="n">
        <f aca="false">SUMIFS(Rashodi_detalji!$L$10:$L$85,Rashodi_detalji!$J$10:$J$85,"3431")</f>
        <v>900</v>
      </c>
      <c r="D47" s="8" t="n">
        <f aca="false">SUMIFS(Rashodi_detalji!$M$10:$M$85,Rashodi_detalji!$J$10:$J$85,"3431")</f>
        <v>913.5</v>
      </c>
      <c r="E47" s="8" t="n">
        <f aca="false">SUMIFS(Rashodi_detalji!$N$10:$N$85,Rashodi_detalji!$J$10:$J$85,"3431")</f>
        <v>927</v>
      </c>
    </row>
    <row r="48" customFormat="false" ht="15" hidden="false" customHeight="false" outlineLevel="0" collapsed="false">
      <c r="A48" s="6" t="s">
        <v>161</v>
      </c>
      <c r="B48" s="7" t="s">
        <v>162</v>
      </c>
      <c r="C48" s="8" t="n">
        <f aca="false">SUMIFS(Rashodi_detalji!$L$10:$L$85,Rashodi_detalji!$J$10:$J$85,"3433")</f>
        <v>800</v>
      </c>
      <c r="D48" s="8" t="n">
        <f aca="false">SUMIFS(Rashodi_detalji!$M$10:$M$85,Rashodi_detalji!$J$10:$J$85,"3433")</f>
        <v>812</v>
      </c>
      <c r="E48" s="8" t="n">
        <f aca="false">SUMIFS(Rashodi_detalji!$N$10:$N$85,Rashodi_detalji!$J$10:$J$85,"3433")</f>
        <v>824.18</v>
      </c>
    </row>
    <row r="49" customFormat="false" ht="15" hidden="false" customHeight="false" outlineLevel="0" collapsed="false">
      <c r="A49" s="10" t="s">
        <v>163</v>
      </c>
      <c r="B49" s="11" t="s">
        <v>164</v>
      </c>
      <c r="C49" s="12" t="n">
        <f aca="false">SUMIFS(Rashodi_detalji!$L$10:$L$85,Rashodi_detalji!$H$10:$H$85,"37")</f>
        <v>50000</v>
      </c>
      <c r="D49" s="12" t="n">
        <f aca="false">SUMIFS(Rashodi_detalji!$M$10:$M$85,Rashodi_detalji!$H$10:$H$85,"37")</f>
        <v>50750</v>
      </c>
      <c r="E49" s="12" t="n">
        <f aca="false">SUMIFS(Rashodi_detalji!$N$10:$N$85,Rashodi_detalji!$H$10:$H$85,"37")</f>
        <v>51511.24</v>
      </c>
    </row>
    <row r="50" customFormat="false" ht="15" hidden="false" customHeight="false" outlineLevel="0" collapsed="false">
      <c r="A50" s="21" t="s">
        <v>165</v>
      </c>
      <c r="B50" s="22" t="s">
        <v>166</v>
      </c>
      <c r="C50" s="23" t="n">
        <f aca="false">SUMIFS(Rashodi_detalji!$L$10:$L$85,Rashodi_detalji!$I$10:$I$85,"372")</f>
        <v>50000</v>
      </c>
      <c r="D50" s="23" t="n">
        <f aca="false">SUMIFS(Rashodi_detalji!$M$10:$M$85,Rashodi_detalji!$I$10:$I$85,"372")</f>
        <v>50750</v>
      </c>
      <c r="E50" s="23" t="n">
        <f aca="false">SUMIFS(Rashodi_detalji!$N$10:$N$85,Rashodi_detalji!$I$10:$I$85,"372")</f>
        <v>51511.24</v>
      </c>
    </row>
    <row r="51" customFormat="false" ht="15" hidden="false" customHeight="false" outlineLevel="0" collapsed="false">
      <c r="A51" s="6" t="s">
        <v>167</v>
      </c>
      <c r="B51" s="7" t="s">
        <v>168</v>
      </c>
      <c r="C51" s="8" t="n">
        <f aca="false">SUMIFS(Rashodi_detalji!$L$10:$L$85,Rashodi_detalji!$J$10:$J$85,"3722")</f>
        <v>50000</v>
      </c>
      <c r="D51" s="8" t="n">
        <f aca="false">SUMIFS(Rashodi_detalji!$M$10:$M$85,Rashodi_detalji!$J$10:$J$85,"3722")</f>
        <v>50750</v>
      </c>
      <c r="E51" s="8" t="n">
        <f aca="false">SUMIFS(Rashodi_detalji!$N$10:$N$85,Rashodi_detalji!$J$10:$J$85,"3722")</f>
        <v>51511.24</v>
      </c>
    </row>
    <row r="52" customFormat="false" ht="15" hidden="false" customHeight="false" outlineLevel="0" collapsed="false">
      <c r="A52" s="10" t="s">
        <v>169</v>
      </c>
      <c r="B52" s="11" t="s">
        <v>170</v>
      </c>
      <c r="C52" s="12" t="n">
        <f aca="false">SUMIFS(Rashodi_detalji!$L$10:$L$85,Rashodi_detalji!$H$10:$H$85,"38")</f>
        <v>1360</v>
      </c>
      <c r="D52" s="12" t="n">
        <f aca="false">SUMIFS(Rashodi_detalji!$M$10:$M$85,Rashodi_detalji!$H$10:$H$85,"38")</f>
        <v>1380.4</v>
      </c>
      <c r="E52" s="12" t="n">
        <f aca="false">SUMIFS(Rashodi_detalji!$N$10:$N$85,Rashodi_detalji!$H$10:$H$85,"38")</f>
        <v>1401.11</v>
      </c>
    </row>
    <row r="53" customFormat="false" ht="15" hidden="false" customHeight="false" outlineLevel="0" collapsed="false">
      <c r="A53" s="21" t="s">
        <v>171</v>
      </c>
      <c r="B53" s="22" t="s">
        <v>172</v>
      </c>
      <c r="C53" s="23" t="n">
        <f aca="false">SUMIFS(Rashodi_detalji!$L$10:$L$85,Rashodi_detalji!$I$10:$I$85,"381")</f>
        <v>1360</v>
      </c>
      <c r="D53" s="23" t="n">
        <f aca="false">SUMIFS(Rashodi_detalji!$M$10:$M$85,Rashodi_detalji!$I$10:$I$85,"381")</f>
        <v>1380.4</v>
      </c>
      <c r="E53" s="23" t="n">
        <f aca="false">SUMIFS(Rashodi_detalji!$N$10:$N$85,Rashodi_detalji!$I$10:$I$85,"381")</f>
        <v>1401.11</v>
      </c>
    </row>
    <row r="54" customFormat="false" ht="15" hidden="false" customHeight="false" outlineLevel="0" collapsed="false">
      <c r="A54" s="6" t="s">
        <v>173</v>
      </c>
      <c r="B54" s="7" t="s">
        <v>174</v>
      </c>
      <c r="C54" s="8" t="n">
        <f aca="false">SUMIFS(Rashodi_detalji!$L$10:$L$85,Rashodi_detalji!$J$10:$J$85,"3812")</f>
        <v>1360</v>
      </c>
      <c r="D54" s="8" t="n">
        <f aca="false">SUMIFS(Rashodi_detalji!$M$10:$M$85,Rashodi_detalji!$J$10:$J$85,"3812")</f>
        <v>1380.4</v>
      </c>
      <c r="E54" s="8" t="n">
        <f aca="false">SUMIFS(Rashodi_detalji!$N$10:$N$85,Rashodi_detalji!$J$10:$J$85,"3812")</f>
        <v>1401.11</v>
      </c>
    </row>
    <row r="55" customFormat="false" ht="15" hidden="false" customHeight="false" outlineLevel="0" collapsed="false">
      <c r="A55" s="16" t="s">
        <v>19</v>
      </c>
      <c r="B55" s="17" t="s">
        <v>20</v>
      </c>
      <c r="C55" s="18" t="n">
        <f aca="false">SUMIFS(Rashodi_detalji!$L$10:$L$85,Rashodi_detalji!$G$10:$G$85,"4")</f>
        <v>114137.34</v>
      </c>
      <c r="D55" s="18" t="n">
        <f aca="false">SUMIFS(Rashodi_detalji!$M$10:$M$85,Rashodi_detalji!$G$10:$G$85,"4")</f>
        <v>115849.4</v>
      </c>
      <c r="E55" s="18" t="n">
        <f aca="false">SUMIFS(Rashodi_detalji!$N$10:$N$85,Rashodi_detalji!$G$10:$G$85,"4")</f>
        <v>117587.15</v>
      </c>
    </row>
    <row r="56" customFormat="false" ht="15" hidden="false" customHeight="false" outlineLevel="0" collapsed="false">
      <c r="A56" s="10" t="s">
        <v>175</v>
      </c>
      <c r="B56" s="11" t="s">
        <v>176</v>
      </c>
      <c r="C56" s="12" t="n">
        <f aca="false">SUMIFS(Rashodi_detalji!$L$10:$L$85,Rashodi_detalji!$H$10:$H$85,"42")</f>
        <v>101270.01</v>
      </c>
      <c r="D56" s="12" t="n">
        <f aca="false">SUMIFS(Rashodi_detalji!$M$10:$M$85,Rashodi_detalji!$H$10:$H$85,"42")</f>
        <v>102789.06</v>
      </c>
      <c r="E56" s="12" t="n">
        <f aca="false">SUMIFS(Rashodi_detalji!$N$10:$N$85,Rashodi_detalji!$H$10:$H$85,"42")</f>
        <v>104330.9</v>
      </c>
    </row>
    <row r="57" customFormat="false" ht="15" hidden="false" customHeight="false" outlineLevel="0" collapsed="false">
      <c r="A57" s="21" t="s">
        <v>177</v>
      </c>
      <c r="B57" s="22" t="s">
        <v>178</v>
      </c>
      <c r="C57" s="23" t="n">
        <f aca="false">SUMIFS(Rashodi_detalji!$L$10:$L$85,Rashodi_detalji!$I$10:$I$85,"422")</f>
        <v>11000</v>
      </c>
      <c r="D57" s="23" t="n">
        <f aca="false">SUMIFS(Rashodi_detalji!$M$10:$M$85,Rashodi_detalji!$I$10:$I$85,"422")</f>
        <v>11165</v>
      </c>
      <c r="E57" s="23" t="n">
        <f aca="false">SUMIFS(Rashodi_detalji!$N$10:$N$85,Rashodi_detalji!$I$10:$I$85,"422")</f>
        <v>11332.48</v>
      </c>
    </row>
    <row r="58" customFormat="false" ht="15" hidden="false" customHeight="false" outlineLevel="0" collapsed="false">
      <c r="A58" s="6" t="s">
        <v>179</v>
      </c>
      <c r="B58" s="7" t="s">
        <v>180</v>
      </c>
      <c r="C58" s="8" t="n">
        <f aca="false">SUMIFS(Rashodi_detalji!$L$10:$L$85,Rashodi_detalji!$J$10:$J$85,"4221")</f>
        <v>6000</v>
      </c>
      <c r="D58" s="8" t="n">
        <f aca="false">SUMIFS(Rashodi_detalji!$M$10:$M$85,Rashodi_detalji!$J$10:$J$85,"4221")</f>
        <v>6090</v>
      </c>
      <c r="E58" s="8" t="n">
        <f aca="false">SUMIFS(Rashodi_detalji!$N$10:$N$85,Rashodi_detalji!$J$10:$J$85,"4221")</f>
        <v>6181.35</v>
      </c>
    </row>
    <row r="59" customFormat="false" ht="15" hidden="false" customHeight="false" outlineLevel="0" collapsed="false">
      <c r="A59" s="6" t="s">
        <v>181</v>
      </c>
      <c r="B59" s="7" t="s">
        <v>182</v>
      </c>
      <c r="C59" s="8" t="n">
        <f aca="false">SUMIFS(Rashodi_detalji!$L$10:$L$85,Rashodi_detalji!$J$10:$J$85,"4227")</f>
        <v>5000</v>
      </c>
      <c r="D59" s="8" t="n">
        <f aca="false">SUMIFS(Rashodi_detalji!$M$10:$M$85,Rashodi_detalji!$J$10:$J$85,"4227")</f>
        <v>5075</v>
      </c>
      <c r="E59" s="8" t="n">
        <f aca="false">SUMIFS(Rashodi_detalji!$N$10:$N$85,Rashodi_detalji!$J$10:$J$85,"4227")</f>
        <v>5151.13</v>
      </c>
    </row>
    <row r="60" customFormat="false" ht="15" hidden="false" customHeight="false" outlineLevel="0" collapsed="false">
      <c r="A60" s="21" t="s">
        <v>183</v>
      </c>
      <c r="B60" s="22" t="s">
        <v>184</v>
      </c>
      <c r="C60" s="23" t="n">
        <f aca="false">SUMIFS(Rashodi_detalji!$L$10:$L$85,Rashodi_detalji!$I$10:$I$85,"424")</f>
        <v>75000</v>
      </c>
      <c r="D60" s="23" t="n">
        <f aca="false">SUMIFS(Rashodi_detalji!$M$10:$M$85,Rashodi_detalji!$I$10:$I$85,"424")</f>
        <v>76125</v>
      </c>
      <c r="E60" s="23" t="n">
        <f aca="false">SUMIFS(Rashodi_detalji!$N$10:$N$85,Rashodi_detalji!$I$10:$I$85,"424")</f>
        <v>77266.87</v>
      </c>
    </row>
    <row r="61" customFormat="false" ht="15" hidden="false" customHeight="false" outlineLevel="0" collapsed="false">
      <c r="A61" s="6" t="s">
        <v>185</v>
      </c>
      <c r="B61" s="7" t="s">
        <v>186</v>
      </c>
      <c r="C61" s="8" t="n">
        <f aca="false">SUMIFS(Rashodi_detalji!$L$10:$L$85,Rashodi_detalji!$J$10:$J$85,"4241")</f>
        <v>75000</v>
      </c>
      <c r="D61" s="8" t="n">
        <f aca="false">SUMIFS(Rashodi_detalji!$M$10:$M$85,Rashodi_detalji!$J$10:$J$85,"4241")</f>
        <v>76125</v>
      </c>
      <c r="E61" s="8" t="n">
        <f aca="false">SUMIFS(Rashodi_detalji!$N$10:$N$85,Rashodi_detalji!$J$10:$J$85,"4241")</f>
        <v>77266.87</v>
      </c>
    </row>
    <row r="62" customFormat="false" ht="15" hidden="false" customHeight="false" outlineLevel="0" collapsed="false">
      <c r="A62" s="21" t="s">
        <v>187</v>
      </c>
      <c r="B62" s="22" t="s">
        <v>188</v>
      </c>
      <c r="C62" s="23" t="n">
        <f aca="false">SUMIFS(Rashodi_detalji!$L$10:$L$85,Rashodi_detalji!$I$10:$I$85,"426")</f>
        <v>15270.01</v>
      </c>
      <c r="D62" s="23" t="n">
        <f aca="false">SUMIFS(Rashodi_detalji!$M$10:$M$85,Rashodi_detalji!$I$10:$I$85,"426")</f>
        <v>15499.06</v>
      </c>
      <c r="E62" s="23" t="n">
        <f aca="false">SUMIFS(Rashodi_detalji!$N$10:$N$85,Rashodi_detalji!$I$10:$I$85,"426")</f>
        <v>15731.55</v>
      </c>
    </row>
    <row r="63" customFormat="false" ht="15" hidden="false" customHeight="false" outlineLevel="0" collapsed="false">
      <c r="A63" s="6" t="s">
        <v>189</v>
      </c>
      <c r="B63" s="7" t="s">
        <v>190</v>
      </c>
      <c r="C63" s="8" t="n">
        <f aca="false">SUMIFS(Rashodi_detalji!$L$10:$L$85,Rashodi_detalji!$J$10:$J$85,"4264")</f>
        <v>15270.01</v>
      </c>
      <c r="D63" s="8" t="n">
        <f aca="false">SUMIFS(Rashodi_detalji!$M$10:$M$85,Rashodi_detalji!$J$10:$J$85,"4264")</f>
        <v>15499.06</v>
      </c>
      <c r="E63" s="8" t="n">
        <f aca="false">SUMIFS(Rashodi_detalji!$N$10:$N$85,Rashodi_detalji!$J$10:$J$85,"4264")</f>
        <v>15731.55</v>
      </c>
    </row>
    <row r="64" customFormat="false" ht="15" hidden="false" customHeight="false" outlineLevel="0" collapsed="false">
      <c r="A64" s="10" t="s">
        <v>191</v>
      </c>
      <c r="B64" s="11" t="s">
        <v>192</v>
      </c>
      <c r="C64" s="12" t="n">
        <f aca="false">SUMIFS(Rashodi_detalji!$L$10:$L$85,Rashodi_detalji!$H$10:$H$85,"45")</f>
        <v>12867.33</v>
      </c>
      <c r="D64" s="12" t="n">
        <f aca="false">SUMIFS(Rashodi_detalji!$M$10:$M$85,Rashodi_detalji!$H$10:$H$85,"45")</f>
        <v>13060.34</v>
      </c>
      <c r="E64" s="12" t="n">
        <f aca="false">SUMIFS(Rashodi_detalji!$N$10:$N$85,Rashodi_detalji!$H$10:$H$85,"45")</f>
        <v>13256.25</v>
      </c>
    </row>
    <row r="65" customFormat="false" ht="15" hidden="false" customHeight="false" outlineLevel="0" collapsed="false">
      <c r="A65" s="21" t="s">
        <v>193</v>
      </c>
      <c r="B65" s="22" t="s">
        <v>194</v>
      </c>
      <c r="C65" s="23" t="n">
        <f aca="false">SUMIFS(Rashodi_detalji!$L$10:$L$85,Rashodi_detalji!$I$10:$I$85,"451")</f>
        <v>12867.33</v>
      </c>
      <c r="D65" s="23" t="n">
        <f aca="false">SUMIFS(Rashodi_detalji!$M$10:$M$85,Rashodi_detalji!$I$10:$I$85,"451")</f>
        <v>13060.34</v>
      </c>
      <c r="E65" s="23" t="n">
        <f aca="false">SUMIFS(Rashodi_detalji!$N$10:$N$85,Rashodi_detalji!$I$10:$I$85,"451")</f>
        <v>13256.25</v>
      </c>
    </row>
    <row r="66" customFormat="false" ht="15" hidden="false" customHeight="false" outlineLevel="0" collapsed="false">
      <c r="A66" s="6" t="s">
        <v>195</v>
      </c>
      <c r="B66" s="7" t="s">
        <v>194</v>
      </c>
      <c r="C66" s="8" t="n">
        <f aca="false">SUMIFS(Rashodi_detalji!$L$10:$L$85,Rashodi_detalji!$J$10:$J$85,"4511")</f>
        <v>12867.33</v>
      </c>
      <c r="D66" s="8" t="n">
        <f aca="false">SUMIFS(Rashodi_detalji!$M$10:$M$85,Rashodi_detalji!$J$10:$J$85,"4511")</f>
        <v>13060.34</v>
      </c>
      <c r="E66" s="8" t="n">
        <f aca="false">SUMIFS(Rashodi_detalji!$N$10:$N$85,Rashodi_detalji!$J$10:$J$85,"4511")</f>
        <v>13256.25</v>
      </c>
    </row>
    <row r="67" customFormat="false" ht="15" hidden="false" customHeight="false" outlineLevel="0" collapsed="false">
      <c r="A67" s="16"/>
      <c r="B67" s="17" t="s">
        <v>196</v>
      </c>
      <c r="C67" s="18" t="n">
        <f aca="false">SUM(C10,C55)</f>
        <v>3371758.34</v>
      </c>
      <c r="D67" s="18" t="n">
        <f aca="false">SUM(D10,D55)</f>
        <v>3422334.71</v>
      </c>
      <c r="E67" s="18" t="n">
        <f aca="false">SUM(E10,E55)</f>
        <v>3473578.56</v>
      </c>
    </row>
  </sheetData>
  <mergeCells count="2">
    <mergeCell ref="A6:E6"/>
    <mergeCell ref="A7:E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5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60"/>
    <col collapsed="false" customWidth="true" hidden="false" outlineLevel="0" max="5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197</v>
      </c>
      <c r="B6" s="3"/>
      <c r="C6" s="3"/>
      <c r="D6" s="3"/>
      <c r="E6" s="3"/>
    </row>
    <row r="7" customFormat="false" ht="15" hidden="false" customHeight="false" outlineLevel="0" collapsed="false">
      <c r="A7" s="4" t="s">
        <v>198</v>
      </c>
      <c r="B7" s="4"/>
      <c r="C7" s="4"/>
      <c r="D7" s="4"/>
      <c r="E7" s="4"/>
    </row>
    <row r="9" customFormat="false" ht="30" hidden="false" customHeight="true" outlineLevel="0" collapsed="false">
      <c r="A9" s="5" t="s">
        <v>199</v>
      </c>
      <c r="B9" s="5" t="s">
        <v>200</v>
      </c>
      <c r="C9" s="5" t="s">
        <v>8</v>
      </c>
      <c r="D9" s="5" t="s">
        <v>9</v>
      </c>
      <c r="E9" s="5" t="s">
        <v>10</v>
      </c>
    </row>
    <row r="10" customFormat="false" ht="15" hidden="false" customHeight="false" outlineLevel="0" collapsed="false">
      <c r="A10" s="10" t="s">
        <v>201</v>
      </c>
      <c r="B10" s="11" t="s">
        <v>202</v>
      </c>
      <c r="C10" s="12" t="n">
        <f aca="false">SUMIFS(Prihodi_detalji!$J$10:$J$22,Prihodi_detalji!$F$10:$F$22,"11")</f>
        <v>70270.01</v>
      </c>
      <c r="D10" s="12" t="n">
        <f aca="false">SUMIFS(Prihodi_detalji!$K$10:$K$22,Prihodi_detalji!$F$10:$F$22,"11")</f>
        <v>71324.06</v>
      </c>
      <c r="E10" s="12" t="n">
        <f aca="false">SUMIFS(Prihodi_detalji!$L$10:$L$22,Prihodi_detalji!$F$10:$F$22,"11")</f>
        <v>72393.92</v>
      </c>
    </row>
    <row r="11" customFormat="false" ht="15" hidden="false" customHeight="false" outlineLevel="0" collapsed="false">
      <c r="A11" s="6" t="s">
        <v>203</v>
      </c>
      <c r="B11" s="7" t="s">
        <v>204</v>
      </c>
      <c r="C11" s="8" t="n">
        <f aca="false">SUMIFS(Prihodi_detalji!$J$10:$J$22,Prihodi_detalji!$G$10:$G$22,"110")</f>
        <v>70270.01</v>
      </c>
      <c r="D11" s="8" t="n">
        <f aca="false">SUMIFS(Prihodi_detalji!$K$10:$K$22,Prihodi_detalji!$G$10:$G$22,"110")</f>
        <v>71324.06</v>
      </c>
      <c r="E11" s="8" t="n">
        <f aca="false">SUMIFS(Prihodi_detalji!$L$10:$L$22,Prihodi_detalji!$G$10:$G$22,"110")</f>
        <v>72393.92</v>
      </c>
    </row>
    <row r="12" customFormat="false" ht="15" hidden="false" customHeight="false" outlineLevel="0" collapsed="false">
      <c r="A12" s="10" t="s">
        <v>88</v>
      </c>
      <c r="B12" s="11" t="s">
        <v>205</v>
      </c>
      <c r="C12" s="12" t="n">
        <f aca="false">SUMIFS(Prihodi_detalji!$J$10:$J$22,Prihodi_detalji!$F$10:$F$22,"31")</f>
        <v>28800</v>
      </c>
      <c r="D12" s="12" t="n">
        <f aca="false">SUMIFS(Prihodi_detalji!$K$10:$K$22,Prihodi_detalji!$F$10:$F$22,"31")</f>
        <v>29232</v>
      </c>
      <c r="E12" s="12" t="n">
        <f aca="false">SUMIFS(Prihodi_detalji!$L$10:$L$22,Prihodi_detalji!$F$10:$F$22,"31")</f>
        <v>29670.48</v>
      </c>
    </row>
    <row r="13" customFormat="false" ht="15" hidden="false" customHeight="false" outlineLevel="0" collapsed="false">
      <c r="A13" s="6" t="s">
        <v>88</v>
      </c>
      <c r="B13" s="7" t="s">
        <v>206</v>
      </c>
      <c r="C13" s="8" t="n">
        <f aca="false">SUMIFS(Prihodi_detalji!$J$10:$J$22,Prihodi_detalji!$G$10:$G$22,"31")</f>
        <v>28800</v>
      </c>
      <c r="D13" s="8" t="n">
        <f aca="false">SUMIFS(Prihodi_detalji!$K$10:$K$22,Prihodi_detalji!$G$10:$G$22,"31")</f>
        <v>29232</v>
      </c>
      <c r="E13" s="8" t="n">
        <f aca="false">SUMIFS(Prihodi_detalji!$L$10:$L$22,Prihodi_detalji!$G$10:$G$22,"31")</f>
        <v>29670.48</v>
      </c>
    </row>
    <row r="14" customFormat="false" ht="15" hidden="false" customHeight="false" outlineLevel="0" collapsed="false">
      <c r="A14" s="10" t="s">
        <v>207</v>
      </c>
      <c r="B14" s="11" t="s">
        <v>208</v>
      </c>
      <c r="C14" s="12" t="n">
        <f aca="false">SUMIFS(Prihodi_detalji!$J$10:$J$22,Prihodi_detalji!$F$10:$F$22,"41")</f>
        <v>23300</v>
      </c>
      <c r="D14" s="12" t="n">
        <f aca="false">SUMIFS(Prihodi_detalji!$K$10:$K$22,Prihodi_detalji!$F$10:$F$22,"41")</f>
        <v>23649.5</v>
      </c>
      <c r="E14" s="12" t="n">
        <f aca="false">SUMIFS(Prihodi_detalji!$L$10:$L$22,Prihodi_detalji!$F$10:$F$22,"41")</f>
        <v>24004.24</v>
      </c>
    </row>
    <row r="15" customFormat="false" ht="15" hidden="false" customHeight="false" outlineLevel="0" collapsed="false">
      <c r="A15" s="6" t="s">
        <v>207</v>
      </c>
      <c r="B15" s="7" t="s">
        <v>209</v>
      </c>
      <c r="C15" s="8" t="n">
        <f aca="false">SUMIFS(Prihodi_detalji!$J$10:$J$22,Prihodi_detalji!$G$10:$G$22,"41")</f>
        <v>23300</v>
      </c>
      <c r="D15" s="8" t="n">
        <f aca="false">SUMIFS(Prihodi_detalji!$K$10:$K$22,Prihodi_detalji!$G$10:$G$22,"41")</f>
        <v>23649.5</v>
      </c>
      <c r="E15" s="8" t="n">
        <f aca="false">SUMIFS(Prihodi_detalji!$L$10:$L$22,Prihodi_detalji!$G$10:$G$22,"41")</f>
        <v>24004.24</v>
      </c>
    </row>
    <row r="16" customFormat="false" ht="15" hidden="false" customHeight="false" outlineLevel="0" collapsed="false">
      <c r="A16" s="10" t="s">
        <v>175</v>
      </c>
      <c r="B16" s="11" t="s">
        <v>210</v>
      </c>
      <c r="C16" s="12" t="n">
        <f aca="false">SUMIFS(Prihodi_detalji!$J$10:$J$22,Prihodi_detalji!$F$10:$F$22,"42")</f>
        <v>61867.33</v>
      </c>
      <c r="D16" s="12" t="n">
        <f aca="false">SUMIFS(Prihodi_detalji!$K$10:$K$22,Prihodi_detalji!$F$10:$F$22,"42")</f>
        <v>62795.34</v>
      </c>
      <c r="E16" s="12" t="n">
        <f aca="false">SUMIFS(Prihodi_detalji!$L$10:$L$22,Prihodi_detalji!$F$10:$F$22,"42")</f>
        <v>63737.28</v>
      </c>
    </row>
    <row r="17" customFormat="false" ht="15" hidden="false" customHeight="false" outlineLevel="0" collapsed="false">
      <c r="A17" s="6" t="s">
        <v>211</v>
      </c>
      <c r="B17" s="7" t="s">
        <v>212</v>
      </c>
      <c r="C17" s="8" t="n">
        <f aca="false">SUMIFS(Prihodi_detalji!$J$10:$J$22,Prihodi_detalji!$G$10:$G$22,"42034")</f>
        <v>61867.33</v>
      </c>
      <c r="D17" s="8" t="n">
        <f aca="false">SUMIFS(Prihodi_detalji!$K$10:$K$22,Prihodi_detalji!$G$10:$G$22,"42034")</f>
        <v>62795.34</v>
      </c>
      <c r="E17" s="8" t="n">
        <f aca="false">SUMIFS(Prihodi_detalji!$L$10:$L$22,Prihodi_detalji!$G$10:$G$22,"42034")</f>
        <v>63737.28</v>
      </c>
    </row>
    <row r="18" customFormat="false" ht="15" hidden="false" customHeight="false" outlineLevel="0" collapsed="false">
      <c r="A18" s="10" t="s">
        <v>191</v>
      </c>
      <c r="B18" s="11" t="s">
        <v>213</v>
      </c>
      <c r="C18" s="12" t="n">
        <f aca="false">SUMIFS(Prihodi_detalji!$J$10:$J$22,Prihodi_detalji!$F$10:$F$22,"45")</f>
        <v>405161</v>
      </c>
      <c r="D18" s="12" t="n">
        <f aca="false">SUMIFS(Prihodi_detalji!$K$10:$K$22,Prihodi_detalji!$F$10:$F$22,"45")</f>
        <v>411238.41</v>
      </c>
      <c r="E18" s="12" t="n">
        <f aca="false">SUMIFS(Prihodi_detalji!$L$10:$L$22,Prihodi_detalji!$F$10:$F$22,"45")</f>
        <v>417315.83</v>
      </c>
    </row>
    <row r="19" customFormat="false" ht="15" hidden="false" customHeight="false" outlineLevel="0" collapsed="false">
      <c r="A19" s="6" t="s">
        <v>193</v>
      </c>
      <c r="B19" s="7" t="s">
        <v>214</v>
      </c>
      <c r="C19" s="8" t="n">
        <f aca="false">SUMIFS(Prihodi_detalji!$J$10:$J$22,Prihodi_detalji!$G$10:$G$22,"451")</f>
        <v>405161</v>
      </c>
      <c r="D19" s="8" t="n">
        <f aca="false">SUMIFS(Prihodi_detalji!$K$10:$K$22,Prihodi_detalji!$G$10:$G$22,"451")</f>
        <v>411238.41</v>
      </c>
      <c r="E19" s="8" t="n">
        <f aca="false">SUMIFS(Prihodi_detalji!$L$10:$L$22,Prihodi_detalji!$G$10:$G$22,"451")</f>
        <v>417315.83</v>
      </c>
    </row>
    <row r="20" customFormat="false" ht="15" hidden="false" customHeight="false" outlineLevel="0" collapsed="false">
      <c r="A20" s="10" t="s">
        <v>215</v>
      </c>
      <c r="B20" s="11" t="s">
        <v>216</v>
      </c>
      <c r="C20" s="12" t="n">
        <f aca="false">SUMIFS(Prihodi_detalji!$J$10:$J$22,Prihodi_detalji!$F$10:$F$22,"51")</f>
        <v>2679860</v>
      </c>
      <c r="D20" s="12" t="n">
        <f aca="false">SUMIFS(Prihodi_detalji!$K$10:$K$22,Prihodi_detalji!$F$10:$F$22,"51")</f>
        <v>2720057.9</v>
      </c>
      <c r="E20" s="12" t="n">
        <f aca="false">SUMIFS(Prihodi_detalji!$L$10:$L$22,Prihodi_detalji!$F$10:$F$22,"51")</f>
        <v>2760858.75</v>
      </c>
    </row>
    <row r="21" customFormat="false" ht="15" hidden="false" customHeight="false" outlineLevel="0" collapsed="false">
      <c r="A21" s="6" t="s">
        <v>217</v>
      </c>
      <c r="B21" s="7" t="s">
        <v>218</v>
      </c>
      <c r="C21" s="8" t="n">
        <f aca="false">SUMIFS(Prihodi_detalji!$J$10:$J$22,Prihodi_detalji!$G$10:$G$22,"5103")</f>
        <v>6000</v>
      </c>
      <c r="D21" s="8" t="n">
        <f aca="false">SUMIFS(Prihodi_detalji!$K$10:$K$22,Prihodi_detalji!$G$10:$G$22,"5103")</f>
        <v>6090</v>
      </c>
      <c r="E21" s="8" t="n">
        <f aca="false">SUMIFS(Prihodi_detalji!$L$10:$L$22,Prihodi_detalji!$G$10:$G$22,"5103")</f>
        <v>6181.34</v>
      </c>
    </row>
    <row r="22" customFormat="false" ht="15" hidden="false" customHeight="false" outlineLevel="0" collapsed="false">
      <c r="A22" s="6" t="s">
        <v>219</v>
      </c>
      <c r="B22" s="7" t="s">
        <v>220</v>
      </c>
      <c r="C22" s="8" t="n">
        <f aca="false">SUMIFS(Prihodi_detalji!$J$10:$J$22,Prihodi_detalji!$G$10:$G$22,"51034")</f>
        <v>38000</v>
      </c>
      <c r="D22" s="8" t="n">
        <f aca="false">SUMIFS(Prihodi_detalji!$K$10:$K$22,Prihodi_detalji!$G$10:$G$22,"51034")</f>
        <v>38570</v>
      </c>
      <c r="E22" s="8" t="n">
        <f aca="false">SUMIFS(Prihodi_detalji!$L$10:$L$22,Prihodi_detalji!$G$10:$G$22,"51034")</f>
        <v>39148.55</v>
      </c>
    </row>
    <row r="23" customFormat="false" ht="15" hidden="false" customHeight="false" outlineLevel="0" collapsed="false">
      <c r="A23" s="6" t="s">
        <v>221</v>
      </c>
      <c r="B23" s="7" t="s">
        <v>222</v>
      </c>
      <c r="C23" s="8" t="n">
        <f aca="false">SUMIFS(Prihodi_detalji!$J$10:$J$22,Prihodi_detalji!$G$10:$G$22,"51035")</f>
        <v>2498500</v>
      </c>
      <c r="D23" s="8" t="n">
        <f aca="false">SUMIFS(Prihodi_detalji!$K$10:$K$22,Prihodi_detalji!$G$10:$G$22,"51035")</f>
        <v>2535977.5</v>
      </c>
      <c r="E23" s="8" t="n">
        <f aca="false">SUMIFS(Prihodi_detalji!$L$10:$L$22,Prihodi_detalji!$G$10:$G$22,"51035")</f>
        <v>2574017.15</v>
      </c>
    </row>
    <row r="24" customFormat="false" ht="15" hidden="false" customHeight="false" outlineLevel="0" collapsed="false">
      <c r="A24" s="6" t="s">
        <v>223</v>
      </c>
      <c r="B24" s="7" t="s">
        <v>224</v>
      </c>
      <c r="C24" s="8" t="n">
        <f aca="false">SUMIFS(Prihodi_detalji!$J$10:$J$22,Prihodi_detalji!$G$10:$G$22,"51038")</f>
        <v>16000</v>
      </c>
      <c r="D24" s="8" t="n">
        <f aca="false">SUMIFS(Prihodi_detalji!$K$10:$K$22,Prihodi_detalji!$G$10:$G$22,"51038")</f>
        <v>16240</v>
      </c>
      <c r="E24" s="8" t="n">
        <f aca="false">SUMIFS(Prihodi_detalji!$L$10:$L$22,Prihodi_detalji!$G$10:$G$22,"51038")</f>
        <v>16483.6</v>
      </c>
    </row>
    <row r="25" customFormat="false" ht="15" hidden="false" customHeight="false" outlineLevel="0" collapsed="false">
      <c r="A25" s="6" t="s">
        <v>225</v>
      </c>
      <c r="B25" s="7" t="s">
        <v>226</v>
      </c>
      <c r="C25" s="8" t="n">
        <f aca="false">SUMIFS(Prihodi_detalji!$J$10:$J$22,Prihodi_detalji!$G$10:$G$22,"510391")</f>
        <v>120000</v>
      </c>
      <c r="D25" s="8" t="n">
        <f aca="false">SUMIFS(Prihodi_detalji!$K$10:$K$22,Prihodi_detalji!$G$10:$G$22,"510391")</f>
        <v>121800</v>
      </c>
      <c r="E25" s="8" t="n">
        <f aca="false">SUMIFS(Prihodi_detalji!$L$10:$L$22,Prihodi_detalji!$G$10:$G$22,"510391")</f>
        <v>123627</v>
      </c>
    </row>
    <row r="26" customFormat="false" ht="15" hidden="false" customHeight="false" outlineLevel="0" collapsed="false">
      <c r="A26" s="6" t="s">
        <v>227</v>
      </c>
      <c r="B26" s="7" t="s">
        <v>228</v>
      </c>
      <c r="C26" s="8" t="n">
        <f aca="false">SUMIFS(Prihodi_detalji!$J$10:$J$22,Prihodi_detalji!$G$10:$G$22,"511903")</f>
        <v>1360</v>
      </c>
      <c r="D26" s="8" t="n">
        <f aca="false">SUMIFS(Prihodi_detalji!$K$10:$K$22,Prihodi_detalji!$G$10:$G$22,"511903")</f>
        <v>1380.4</v>
      </c>
      <c r="E26" s="8" t="n">
        <f aca="false">SUMIFS(Prihodi_detalji!$L$10:$L$22,Prihodi_detalji!$G$10:$G$22,"511903")</f>
        <v>1401.11</v>
      </c>
    </row>
    <row r="27" customFormat="false" ht="15" hidden="false" customHeight="false" outlineLevel="0" collapsed="false">
      <c r="A27" s="10" t="s">
        <v>229</v>
      </c>
      <c r="B27" s="11" t="s">
        <v>230</v>
      </c>
      <c r="C27" s="12" t="n">
        <f aca="false">SUMIFS(Prihodi_detalji!$J$10:$J$22,Prihodi_detalji!$F$10:$F$22,"53")</f>
        <v>66000</v>
      </c>
      <c r="D27" s="12" t="n">
        <f aca="false">SUMIFS(Prihodi_detalji!$K$10:$K$22,Prihodi_detalji!$F$10:$F$22,"53")</f>
        <v>66990</v>
      </c>
      <c r="E27" s="12" t="n">
        <f aca="false">SUMIFS(Prihodi_detalji!$L$10:$L$22,Prihodi_detalji!$F$10:$F$22,"53")</f>
        <v>67994.85</v>
      </c>
    </row>
    <row r="28" customFormat="false" ht="15" hidden="false" customHeight="false" outlineLevel="0" collapsed="false">
      <c r="A28" s="6" t="s">
        <v>229</v>
      </c>
      <c r="B28" s="7" t="s">
        <v>231</v>
      </c>
      <c r="C28" s="8" t="n">
        <f aca="false">SUMIFS(Prihodi_detalji!$J$10:$J$22,Prihodi_detalji!$G$10:$G$22,"53")</f>
        <v>66000</v>
      </c>
      <c r="D28" s="8" t="n">
        <f aca="false">SUMIFS(Prihodi_detalji!$K$10:$K$22,Prihodi_detalji!$G$10:$G$22,"53")</f>
        <v>66990</v>
      </c>
      <c r="E28" s="8" t="n">
        <f aca="false">SUMIFS(Prihodi_detalji!$L$10:$L$22,Prihodi_detalji!$G$10:$G$22,"53")</f>
        <v>67994.85</v>
      </c>
    </row>
    <row r="29" customFormat="false" ht="15" hidden="false" customHeight="false" outlineLevel="0" collapsed="false">
      <c r="A29" s="10" t="s">
        <v>232</v>
      </c>
      <c r="B29" s="11" t="s">
        <v>233</v>
      </c>
      <c r="C29" s="12" t="n">
        <f aca="false">SUMIFS(Prihodi_detalji!$J$10:$J$22,Prihodi_detalji!$F$10:$F$22,"54")</f>
        <v>36500</v>
      </c>
      <c r="D29" s="12" t="n">
        <f aca="false">SUMIFS(Prihodi_detalji!$K$10:$K$22,Prihodi_detalji!$F$10:$F$22,"54")</f>
        <v>37047.5</v>
      </c>
      <c r="E29" s="12" t="n">
        <f aca="false">SUMIFS(Prihodi_detalji!$L$10:$L$22,Prihodi_detalji!$F$10:$F$22,"54")</f>
        <v>37603.21</v>
      </c>
    </row>
    <row r="30" customFormat="false" ht="15" hidden="false" customHeight="false" outlineLevel="0" collapsed="false">
      <c r="A30" s="6" t="s">
        <v>234</v>
      </c>
      <c r="B30" s="7" t="s">
        <v>235</v>
      </c>
      <c r="C30" s="8" t="n">
        <f aca="false">SUMIFS(Prihodi_detalji!$J$10:$J$22,Prihodi_detalji!$G$10:$G$22,"540099")</f>
        <v>36500</v>
      </c>
      <c r="D30" s="8" t="n">
        <f aca="false">SUMIFS(Prihodi_detalji!$K$10:$K$22,Prihodi_detalji!$G$10:$G$22,"540099")</f>
        <v>37047.5</v>
      </c>
      <c r="E30" s="8" t="n">
        <f aca="false">SUMIFS(Prihodi_detalji!$L$10:$L$22,Prihodi_detalji!$G$10:$G$22,"540099")</f>
        <v>37603.21</v>
      </c>
    </row>
    <row r="31" customFormat="false" ht="15" hidden="false" customHeight="false" outlineLevel="0" collapsed="false">
      <c r="A31" s="16"/>
      <c r="B31" s="17" t="s">
        <v>236</v>
      </c>
      <c r="C31" s="18" t="n">
        <f aca="false">C10+C12+C14+C16+C18+C20+C27+C29</f>
        <v>3371758.34</v>
      </c>
      <c r="D31" s="18" t="n">
        <f aca="false">D10+D12+D14+D16+D18+D20+D27+D29</f>
        <v>3422334.71</v>
      </c>
      <c r="E31" s="18" t="n">
        <f aca="false">E10+E12+E14+E16+E18+E20+E27+E29</f>
        <v>3473578.56</v>
      </c>
    </row>
    <row r="33" customFormat="false" ht="30" hidden="false" customHeight="true" outlineLevel="0" collapsed="false">
      <c r="A33" s="5" t="s">
        <v>199</v>
      </c>
      <c r="B33" s="5" t="s">
        <v>237</v>
      </c>
      <c r="C33" s="5" t="s">
        <v>8</v>
      </c>
      <c r="D33" s="5" t="s">
        <v>9</v>
      </c>
      <c r="E33" s="5" t="s">
        <v>10</v>
      </c>
    </row>
    <row r="34" customFormat="false" ht="15" hidden="false" customHeight="false" outlineLevel="0" collapsed="false">
      <c r="A34" s="10" t="s">
        <v>201</v>
      </c>
      <c r="B34" s="11" t="s">
        <v>202</v>
      </c>
      <c r="C34" s="12" t="n">
        <f aca="false">SUMIFS(Rashodi_detalji!$L$10:$L$85,Rashodi_detalji!$D$10:$D$85,"11")</f>
        <v>70270.01</v>
      </c>
      <c r="D34" s="12" t="n">
        <f aca="false">SUMIFS(Rashodi_detalji!$M$10:$M$85,Rashodi_detalji!$D$10:$D$85,"11")</f>
        <v>71324.06</v>
      </c>
      <c r="E34" s="12" t="n">
        <f aca="false">SUMIFS(Rashodi_detalji!$N$10:$N$85,Rashodi_detalji!$D$10:$D$85,"11")</f>
        <v>72393.92</v>
      </c>
    </row>
    <row r="35" customFormat="false" ht="15" hidden="false" customHeight="false" outlineLevel="0" collapsed="false">
      <c r="A35" s="6" t="s">
        <v>203</v>
      </c>
      <c r="B35" s="7" t="s">
        <v>204</v>
      </c>
      <c r="C35" s="8" t="n">
        <f aca="false">SUMIFS(Rashodi_detalji!$L$10:$L$85,Rashodi_detalji!$E$10:$E$85,"110")</f>
        <v>70270.01</v>
      </c>
      <c r="D35" s="8" t="n">
        <f aca="false">SUMIFS(Rashodi_detalji!$M$10:$M$85,Rashodi_detalji!$E$10:$E$85,"110")</f>
        <v>71324.06</v>
      </c>
      <c r="E35" s="8" t="n">
        <f aca="false">SUMIFS(Rashodi_detalji!$N$10:$N$85,Rashodi_detalji!$E$10:$E$85,"110")</f>
        <v>72393.92</v>
      </c>
    </row>
    <row r="36" customFormat="false" ht="15" hidden="false" customHeight="false" outlineLevel="0" collapsed="false">
      <c r="A36" s="10" t="s">
        <v>88</v>
      </c>
      <c r="B36" s="11" t="s">
        <v>205</v>
      </c>
      <c r="C36" s="12" t="n">
        <f aca="false">SUMIFS(Rashodi_detalji!$L$10:$L$85,Rashodi_detalji!$D$10:$D$85,"31")</f>
        <v>28800</v>
      </c>
      <c r="D36" s="12" t="n">
        <f aca="false">SUMIFS(Rashodi_detalji!$M$10:$M$85,Rashodi_detalji!$D$10:$D$85,"31")</f>
        <v>29232</v>
      </c>
      <c r="E36" s="12" t="n">
        <f aca="false">SUMIFS(Rashodi_detalji!$N$10:$N$85,Rashodi_detalji!$D$10:$D$85,"31")</f>
        <v>29670.48</v>
      </c>
    </row>
    <row r="37" customFormat="false" ht="15" hidden="false" customHeight="false" outlineLevel="0" collapsed="false">
      <c r="A37" s="6" t="s">
        <v>88</v>
      </c>
      <c r="B37" s="7" t="s">
        <v>206</v>
      </c>
      <c r="C37" s="8" t="n">
        <f aca="false">SUMIFS(Rashodi_detalji!$L$10:$L$85,Rashodi_detalji!$E$10:$E$85,"31")</f>
        <v>28800</v>
      </c>
      <c r="D37" s="8" t="n">
        <f aca="false">SUMIFS(Rashodi_detalji!$M$10:$M$85,Rashodi_detalji!$E$10:$E$85,"31")</f>
        <v>29232</v>
      </c>
      <c r="E37" s="8" t="n">
        <f aca="false">SUMIFS(Rashodi_detalji!$N$10:$N$85,Rashodi_detalji!$E$10:$E$85,"31")</f>
        <v>29670.48</v>
      </c>
    </row>
    <row r="38" customFormat="false" ht="15" hidden="false" customHeight="false" outlineLevel="0" collapsed="false">
      <c r="A38" s="10" t="s">
        <v>207</v>
      </c>
      <c r="B38" s="11" t="s">
        <v>208</v>
      </c>
      <c r="C38" s="12" t="n">
        <f aca="false">SUMIFS(Rashodi_detalji!$L$10:$L$85,Rashodi_detalji!$D$10:$D$85,"41")</f>
        <v>23300</v>
      </c>
      <c r="D38" s="12" t="n">
        <f aca="false">SUMIFS(Rashodi_detalji!$M$10:$M$85,Rashodi_detalji!$D$10:$D$85,"41")</f>
        <v>23649.5</v>
      </c>
      <c r="E38" s="12" t="n">
        <f aca="false">SUMIFS(Rashodi_detalji!$N$10:$N$85,Rashodi_detalji!$D$10:$D$85,"41")</f>
        <v>24004.24</v>
      </c>
    </row>
    <row r="39" customFormat="false" ht="15" hidden="false" customHeight="false" outlineLevel="0" collapsed="false">
      <c r="A39" s="6" t="s">
        <v>207</v>
      </c>
      <c r="B39" s="7" t="s">
        <v>209</v>
      </c>
      <c r="C39" s="8" t="n">
        <f aca="false">SUMIFS(Rashodi_detalji!$L$10:$L$85,Rashodi_detalji!$E$10:$E$85,"41")</f>
        <v>23300</v>
      </c>
      <c r="D39" s="8" t="n">
        <f aca="false">SUMIFS(Rashodi_detalji!$M$10:$M$85,Rashodi_detalji!$E$10:$E$85,"41")</f>
        <v>23649.5</v>
      </c>
      <c r="E39" s="8" t="n">
        <f aca="false">SUMIFS(Rashodi_detalji!$N$10:$N$85,Rashodi_detalji!$E$10:$E$85,"41")</f>
        <v>24004.24</v>
      </c>
    </row>
    <row r="40" customFormat="false" ht="15" hidden="false" customHeight="false" outlineLevel="0" collapsed="false">
      <c r="A40" s="10" t="s">
        <v>175</v>
      </c>
      <c r="B40" s="11" t="s">
        <v>210</v>
      </c>
      <c r="C40" s="12" t="n">
        <f aca="false">SUMIFS(Rashodi_detalji!$L$10:$L$85,Rashodi_detalji!$D$10:$D$85,"42")</f>
        <v>61867.33</v>
      </c>
      <c r="D40" s="12" t="n">
        <f aca="false">SUMIFS(Rashodi_detalji!$M$10:$M$85,Rashodi_detalji!$D$10:$D$85,"42")</f>
        <v>62795.34</v>
      </c>
      <c r="E40" s="12" t="n">
        <f aca="false">SUMIFS(Rashodi_detalji!$N$10:$N$85,Rashodi_detalji!$D$10:$D$85,"42")</f>
        <v>63737.28</v>
      </c>
    </row>
    <row r="41" customFormat="false" ht="15" hidden="false" customHeight="false" outlineLevel="0" collapsed="false">
      <c r="A41" s="6" t="s">
        <v>211</v>
      </c>
      <c r="B41" s="7" t="s">
        <v>212</v>
      </c>
      <c r="C41" s="8" t="n">
        <f aca="false">SUMIFS(Rashodi_detalji!$L$10:$L$85,Rashodi_detalji!$E$10:$E$85,"42034")</f>
        <v>61867.33</v>
      </c>
      <c r="D41" s="8" t="n">
        <f aca="false">SUMIFS(Rashodi_detalji!$M$10:$M$85,Rashodi_detalji!$E$10:$E$85,"42034")</f>
        <v>62795.34</v>
      </c>
      <c r="E41" s="8" t="n">
        <f aca="false">SUMIFS(Rashodi_detalji!$N$10:$N$85,Rashodi_detalji!$E$10:$E$85,"42034")</f>
        <v>63737.28</v>
      </c>
    </row>
    <row r="42" customFormat="false" ht="15" hidden="false" customHeight="false" outlineLevel="0" collapsed="false">
      <c r="A42" s="10" t="s">
        <v>191</v>
      </c>
      <c r="B42" s="11" t="s">
        <v>213</v>
      </c>
      <c r="C42" s="12" t="n">
        <f aca="false">SUMIFS(Rashodi_detalji!$L$10:$L$85,Rashodi_detalji!$D$10:$D$85,"45")</f>
        <v>405161</v>
      </c>
      <c r="D42" s="12" t="n">
        <f aca="false">SUMIFS(Rashodi_detalji!$M$10:$M$85,Rashodi_detalji!$D$10:$D$85,"45")</f>
        <v>411238.41</v>
      </c>
      <c r="E42" s="12" t="n">
        <f aca="false">SUMIFS(Rashodi_detalji!$N$10:$N$85,Rashodi_detalji!$D$10:$D$85,"45")</f>
        <v>417315.83</v>
      </c>
    </row>
    <row r="43" customFormat="false" ht="15" hidden="false" customHeight="false" outlineLevel="0" collapsed="false">
      <c r="A43" s="6" t="s">
        <v>193</v>
      </c>
      <c r="B43" s="7" t="s">
        <v>214</v>
      </c>
      <c r="C43" s="8" t="n">
        <f aca="false">SUMIFS(Rashodi_detalji!$L$10:$L$85,Rashodi_detalji!$E$10:$E$85,"451")</f>
        <v>405161</v>
      </c>
      <c r="D43" s="8" t="n">
        <f aca="false">SUMIFS(Rashodi_detalji!$M$10:$M$85,Rashodi_detalji!$E$10:$E$85,"451")</f>
        <v>411238.41</v>
      </c>
      <c r="E43" s="8" t="n">
        <f aca="false">SUMIFS(Rashodi_detalji!$N$10:$N$85,Rashodi_detalji!$E$10:$E$85,"451")</f>
        <v>417315.83</v>
      </c>
    </row>
    <row r="44" customFormat="false" ht="15" hidden="false" customHeight="false" outlineLevel="0" collapsed="false">
      <c r="A44" s="10" t="s">
        <v>215</v>
      </c>
      <c r="B44" s="11" t="s">
        <v>216</v>
      </c>
      <c r="C44" s="12" t="n">
        <f aca="false">SUMIFS(Rashodi_detalji!$L$10:$L$85,Rashodi_detalji!$D$10:$D$85,"51")</f>
        <v>2679860</v>
      </c>
      <c r="D44" s="12" t="n">
        <f aca="false">SUMIFS(Rashodi_detalji!$M$10:$M$85,Rashodi_detalji!$D$10:$D$85,"51")</f>
        <v>2720057.9</v>
      </c>
      <c r="E44" s="12" t="n">
        <f aca="false">SUMIFS(Rashodi_detalji!$N$10:$N$85,Rashodi_detalji!$D$10:$D$85,"51")</f>
        <v>2760858.75</v>
      </c>
    </row>
    <row r="45" customFormat="false" ht="15" hidden="false" customHeight="false" outlineLevel="0" collapsed="false">
      <c r="A45" s="6" t="s">
        <v>217</v>
      </c>
      <c r="B45" s="7" t="s">
        <v>218</v>
      </c>
      <c r="C45" s="8" t="n">
        <f aca="false">SUMIFS(Rashodi_detalji!$L$10:$L$85,Rashodi_detalji!$E$10:$E$85,"5103")</f>
        <v>6000</v>
      </c>
      <c r="D45" s="8" t="n">
        <f aca="false">SUMIFS(Rashodi_detalji!$M$10:$M$85,Rashodi_detalji!$E$10:$E$85,"5103")</f>
        <v>6090</v>
      </c>
      <c r="E45" s="8" t="n">
        <f aca="false">SUMIFS(Rashodi_detalji!$N$10:$N$85,Rashodi_detalji!$E$10:$E$85,"5103")</f>
        <v>6181.34</v>
      </c>
    </row>
    <row r="46" customFormat="false" ht="15" hidden="false" customHeight="false" outlineLevel="0" collapsed="false">
      <c r="A46" s="6" t="s">
        <v>219</v>
      </c>
      <c r="B46" s="7" t="s">
        <v>220</v>
      </c>
      <c r="C46" s="8" t="n">
        <f aca="false">SUMIFS(Rashodi_detalji!$L$10:$L$85,Rashodi_detalji!$E$10:$E$85,"51034")</f>
        <v>38000</v>
      </c>
      <c r="D46" s="8" t="n">
        <f aca="false">SUMIFS(Rashodi_detalji!$M$10:$M$85,Rashodi_detalji!$E$10:$E$85,"51034")</f>
        <v>38570</v>
      </c>
      <c r="E46" s="8" t="n">
        <f aca="false">SUMIFS(Rashodi_detalji!$N$10:$N$85,Rashodi_detalji!$E$10:$E$85,"51034")</f>
        <v>39148.55</v>
      </c>
    </row>
    <row r="47" customFormat="false" ht="15" hidden="false" customHeight="false" outlineLevel="0" collapsed="false">
      <c r="A47" s="6" t="s">
        <v>221</v>
      </c>
      <c r="B47" s="7" t="s">
        <v>222</v>
      </c>
      <c r="C47" s="8" t="n">
        <f aca="false">SUMIFS(Rashodi_detalji!$L$10:$L$85,Rashodi_detalji!$E$10:$E$85,"51035")</f>
        <v>2498500</v>
      </c>
      <c r="D47" s="8" t="n">
        <f aca="false">SUMIFS(Rashodi_detalji!$M$10:$M$85,Rashodi_detalji!$E$10:$E$85,"51035")</f>
        <v>2535977.5</v>
      </c>
      <c r="E47" s="8" t="n">
        <f aca="false">SUMIFS(Rashodi_detalji!$N$10:$N$85,Rashodi_detalji!$E$10:$E$85,"51035")</f>
        <v>2574017.15</v>
      </c>
    </row>
    <row r="48" customFormat="false" ht="15" hidden="false" customHeight="false" outlineLevel="0" collapsed="false">
      <c r="A48" s="6" t="s">
        <v>223</v>
      </c>
      <c r="B48" s="7" t="s">
        <v>224</v>
      </c>
      <c r="C48" s="8" t="n">
        <f aca="false">SUMIFS(Rashodi_detalji!$L$10:$L$85,Rashodi_detalji!$E$10:$E$85,"51038")</f>
        <v>16000</v>
      </c>
      <c r="D48" s="8" t="n">
        <f aca="false">SUMIFS(Rashodi_detalji!$M$10:$M$85,Rashodi_detalji!$E$10:$E$85,"51038")</f>
        <v>16240</v>
      </c>
      <c r="E48" s="8" t="n">
        <f aca="false">SUMIFS(Rashodi_detalji!$N$10:$N$85,Rashodi_detalji!$E$10:$E$85,"51038")</f>
        <v>16483.6</v>
      </c>
    </row>
    <row r="49" customFormat="false" ht="15" hidden="false" customHeight="false" outlineLevel="0" collapsed="false">
      <c r="A49" s="6" t="s">
        <v>225</v>
      </c>
      <c r="B49" s="7" t="s">
        <v>226</v>
      </c>
      <c r="C49" s="8" t="n">
        <f aca="false">SUMIFS(Rashodi_detalji!$L$10:$L$85,Rashodi_detalji!$E$10:$E$85,"510391")</f>
        <v>120000</v>
      </c>
      <c r="D49" s="8" t="n">
        <f aca="false">SUMIFS(Rashodi_detalji!$M$10:$M$85,Rashodi_detalji!$E$10:$E$85,"510391")</f>
        <v>121800</v>
      </c>
      <c r="E49" s="8" t="n">
        <f aca="false">SUMIFS(Rashodi_detalji!$N$10:$N$85,Rashodi_detalji!$E$10:$E$85,"510391")</f>
        <v>123627</v>
      </c>
    </row>
    <row r="50" customFormat="false" ht="15" hidden="false" customHeight="false" outlineLevel="0" collapsed="false">
      <c r="A50" s="6" t="s">
        <v>227</v>
      </c>
      <c r="B50" s="7" t="s">
        <v>228</v>
      </c>
      <c r="C50" s="8" t="n">
        <f aca="false">SUMIFS(Rashodi_detalji!$L$10:$L$85,Rashodi_detalji!$E$10:$E$85,"511903")</f>
        <v>1360</v>
      </c>
      <c r="D50" s="8" t="n">
        <f aca="false">SUMIFS(Rashodi_detalji!$M$10:$M$85,Rashodi_detalji!$E$10:$E$85,"511903")</f>
        <v>1380.4</v>
      </c>
      <c r="E50" s="8" t="n">
        <f aca="false">SUMIFS(Rashodi_detalji!$N$10:$N$85,Rashodi_detalji!$E$10:$E$85,"511903")</f>
        <v>1401.11</v>
      </c>
    </row>
    <row r="51" customFormat="false" ht="15" hidden="false" customHeight="false" outlineLevel="0" collapsed="false">
      <c r="A51" s="10" t="s">
        <v>229</v>
      </c>
      <c r="B51" s="11" t="s">
        <v>230</v>
      </c>
      <c r="C51" s="12" t="n">
        <f aca="false">SUMIFS(Rashodi_detalji!$L$10:$L$85,Rashodi_detalji!$D$10:$D$85,"53")</f>
        <v>66000</v>
      </c>
      <c r="D51" s="12" t="n">
        <f aca="false">SUMIFS(Rashodi_detalji!$M$10:$M$85,Rashodi_detalji!$D$10:$D$85,"53")</f>
        <v>66990</v>
      </c>
      <c r="E51" s="12" t="n">
        <f aca="false">SUMIFS(Rashodi_detalji!$N$10:$N$85,Rashodi_detalji!$D$10:$D$85,"53")</f>
        <v>67994.85</v>
      </c>
    </row>
    <row r="52" customFormat="false" ht="15" hidden="false" customHeight="false" outlineLevel="0" collapsed="false">
      <c r="A52" s="6" t="s">
        <v>229</v>
      </c>
      <c r="B52" s="7" t="s">
        <v>231</v>
      </c>
      <c r="C52" s="8" t="n">
        <f aca="false">SUMIFS(Rashodi_detalji!$L$10:$L$85,Rashodi_detalji!$E$10:$E$85,"53")</f>
        <v>66000</v>
      </c>
      <c r="D52" s="8" t="n">
        <f aca="false">SUMIFS(Rashodi_detalji!$M$10:$M$85,Rashodi_detalji!$E$10:$E$85,"53")</f>
        <v>66990</v>
      </c>
      <c r="E52" s="8" t="n">
        <f aca="false">SUMIFS(Rashodi_detalji!$N$10:$N$85,Rashodi_detalji!$E$10:$E$85,"53")</f>
        <v>67994.85</v>
      </c>
    </row>
    <row r="53" customFormat="false" ht="15" hidden="false" customHeight="false" outlineLevel="0" collapsed="false">
      <c r="A53" s="10" t="s">
        <v>232</v>
      </c>
      <c r="B53" s="11" t="s">
        <v>233</v>
      </c>
      <c r="C53" s="12" t="n">
        <f aca="false">SUMIFS(Rashodi_detalji!$L$10:$L$85,Rashodi_detalji!$D$10:$D$85,"54")</f>
        <v>36500</v>
      </c>
      <c r="D53" s="12" t="n">
        <f aca="false">SUMIFS(Rashodi_detalji!$M$10:$M$85,Rashodi_detalji!$D$10:$D$85,"54")</f>
        <v>37047.5</v>
      </c>
      <c r="E53" s="12" t="n">
        <f aca="false">SUMIFS(Rashodi_detalji!$N$10:$N$85,Rashodi_detalji!$D$10:$D$85,"54")</f>
        <v>37603.21</v>
      </c>
    </row>
    <row r="54" customFormat="false" ht="15" hidden="false" customHeight="false" outlineLevel="0" collapsed="false">
      <c r="A54" s="6" t="s">
        <v>234</v>
      </c>
      <c r="B54" s="7" t="s">
        <v>235</v>
      </c>
      <c r="C54" s="8" t="n">
        <f aca="false">SUMIFS(Rashodi_detalji!$L$10:$L$85,Rashodi_detalji!$E$10:$E$85,"540099")</f>
        <v>36500</v>
      </c>
      <c r="D54" s="8" t="n">
        <f aca="false">SUMIFS(Rashodi_detalji!$M$10:$M$85,Rashodi_detalji!$E$10:$E$85,"540099")</f>
        <v>37047.5</v>
      </c>
      <c r="E54" s="8" t="n">
        <f aca="false">SUMIFS(Rashodi_detalji!$N$10:$N$85,Rashodi_detalji!$E$10:$E$85,"540099")</f>
        <v>37603.21</v>
      </c>
    </row>
    <row r="55" customFormat="false" ht="15" hidden="false" customHeight="false" outlineLevel="0" collapsed="false">
      <c r="A55" s="16"/>
      <c r="B55" s="17" t="s">
        <v>238</v>
      </c>
      <c r="C55" s="18" t="n">
        <f aca="false">C34+C36+C38+C40+C42+C44+C51+C53</f>
        <v>3371758.34</v>
      </c>
      <c r="D55" s="18" t="n">
        <f aca="false">D34+D36+D38+D40+D42+D44+D51+D53</f>
        <v>3422334.71</v>
      </c>
      <c r="E55" s="18" t="n">
        <f aca="false">E34+E36+E38+E40+E42+E44+E51+E53</f>
        <v>3473578.56</v>
      </c>
    </row>
  </sheetData>
  <mergeCells count="2">
    <mergeCell ref="A6:E6"/>
    <mergeCell ref="A7:E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50"/>
    <col collapsed="false" customWidth="true" hidden="false" outlineLevel="0" max="5" min="3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239</v>
      </c>
      <c r="B6" s="3"/>
      <c r="C6" s="3"/>
      <c r="D6" s="3"/>
      <c r="E6" s="3"/>
    </row>
    <row r="7" customFormat="false" ht="15" hidden="false" customHeight="false" outlineLevel="0" collapsed="false">
      <c r="A7" s="4" t="s">
        <v>240</v>
      </c>
      <c r="B7" s="4"/>
      <c r="C7" s="4"/>
      <c r="D7" s="4"/>
      <c r="E7" s="4"/>
    </row>
    <row r="9" customFormat="false" ht="30" hidden="false" customHeight="true" outlineLevel="0" collapsed="false">
      <c r="A9" s="5" t="s">
        <v>241</v>
      </c>
      <c r="B9" s="5" t="s">
        <v>47</v>
      </c>
      <c r="C9" s="5" t="s">
        <v>8</v>
      </c>
      <c r="D9" s="5" t="s">
        <v>9</v>
      </c>
      <c r="E9" s="5" t="s">
        <v>10</v>
      </c>
    </row>
    <row r="10" customFormat="false" ht="15" hidden="false" customHeight="false" outlineLevel="0" collapsed="false">
      <c r="A10" s="10" t="s">
        <v>242</v>
      </c>
      <c r="B10" s="11" t="s">
        <v>243</v>
      </c>
      <c r="C10" s="12" t="n">
        <f aca="false">SUM(C11:C12)</f>
        <v>3371758.34</v>
      </c>
      <c r="D10" s="12" t="n">
        <f aca="false">SUM(D11:D12)</f>
        <v>3422334.71</v>
      </c>
      <c r="E10" s="12" t="n">
        <f aca="false">SUM(E11:E12)</f>
        <v>3473578.56</v>
      </c>
    </row>
    <row r="11" customFormat="false" ht="15" hidden="false" customHeight="false" outlineLevel="0" collapsed="false">
      <c r="A11" s="6" t="s">
        <v>244</v>
      </c>
      <c r="B11" s="7" t="s">
        <v>245</v>
      </c>
      <c r="C11" s="8" t="n">
        <f aca="false">SUMIFS(Rashodi_detalji!$L$10:$L$85,Rashodi_detalji!$C$10:$C$85,"0912")</f>
        <v>3297758.34</v>
      </c>
      <c r="D11" s="8" t="n">
        <f aca="false">SUMIFS(Rashodi_detalji!$M$10:$M$85,Rashodi_detalji!$C$10:$C$85,"0912")</f>
        <v>3347224.71</v>
      </c>
      <c r="E11" s="8" t="n">
        <f aca="false">SUMIFS(Rashodi_detalji!$N$10:$N$85,Rashodi_detalji!$C$10:$C$85,"0912")</f>
        <v>3397341.92</v>
      </c>
    </row>
    <row r="12" customFormat="false" ht="15" hidden="false" customHeight="false" outlineLevel="0" collapsed="false">
      <c r="A12" s="6" t="s">
        <v>246</v>
      </c>
      <c r="B12" s="7" t="s">
        <v>247</v>
      </c>
      <c r="C12" s="8" t="n">
        <f aca="false">SUMIFS(Rashodi_detalji!$L$10:$L$85,Rashodi_detalji!$C$10:$C$85,"0960")</f>
        <v>74000</v>
      </c>
      <c r="D12" s="8" t="n">
        <f aca="false">SUMIFS(Rashodi_detalji!$M$10:$M$85,Rashodi_detalji!$C$10:$C$85,"0960")</f>
        <v>75110</v>
      </c>
      <c r="E12" s="8" t="n">
        <f aca="false">SUMIFS(Rashodi_detalji!$N$10:$N$85,Rashodi_detalji!$C$10:$C$85,"0960")</f>
        <v>76236.64</v>
      </c>
    </row>
  </sheetData>
  <mergeCells count="2">
    <mergeCell ref="A6:E6"/>
    <mergeCell ref="A7:E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11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9" topLeftCell="D10" activePane="bottomRight" state="frozen"/>
      <selection pane="topLeft" activeCell="A1" activeCellId="0" sqref="A1"/>
      <selection pane="topRight" activeCell="D1" activeCellId="0" sqref="D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62"/>
    <col collapsed="false" customWidth="true" hidden="false" outlineLevel="0" max="3" min="3" style="0" width="9"/>
    <col collapsed="false" customWidth="true" hidden="false" outlineLevel="0" max="6" min="4" style="0" width="16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248</v>
      </c>
      <c r="B6" s="3"/>
      <c r="C6" s="3"/>
      <c r="D6" s="3"/>
      <c r="E6" s="3"/>
      <c r="F6" s="3"/>
    </row>
    <row r="7" customFormat="false" ht="15" hidden="false" customHeight="false" outlineLevel="0" collapsed="false">
      <c r="A7" s="4" t="s">
        <v>249</v>
      </c>
      <c r="B7" s="4"/>
      <c r="C7" s="4"/>
      <c r="D7" s="4"/>
      <c r="E7" s="4"/>
      <c r="F7" s="4"/>
    </row>
    <row r="9" customFormat="false" ht="30" hidden="false" customHeight="true" outlineLevel="0" collapsed="false">
      <c r="A9" s="5" t="s">
        <v>6</v>
      </c>
      <c r="B9" s="5" t="s">
        <v>47</v>
      </c>
      <c r="C9" s="5" t="s">
        <v>199</v>
      </c>
      <c r="D9" s="5" t="s">
        <v>8</v>
      </c>
      <c r="E9" s="5" t="s">
        <v>9</v>
      </c>
      <c r="F9" s="5" t="s">
        <v>10</v>
      </c>
    </row>
    <row r="10" customFormat="false" ht="15" hidden="false" customHeight="false" outlineLevel="0" collapsed="false">
      <c r="A10" s="16"/>
      <c r="B10" s="16" t="s">
        <v>250</v>
      </c>
      <c r="C10" s="17"/>
      <c r="D10" s="18" t="n">
        <f aca="false">D11+D45+D100</f>
        <v>3371758.34</v>
      </c>
      <c r="E10" s="18" t="n">
        <f aca="false">E11+E45+E100</f>
        <v>3422334.71</v>
      </c>
      <c r="F10" s="18" t="n">
        <f aca="false">F11+F45+F100</f>
        <v>3473578.56</v>
      </c>
    </row>
    <row r="11" customFormat="false" ht="15" hidden="false" customHeight="false" outlineLevel="0" collapsed="false">
      <c r="A11" s="10" t="s">
        <v>251</v>
      </c>
      <c r="B11" s="10" t="s">
        <v>252</v>
      </c>
      <c r="C11" s="11"/>
      <c r="D11" s="12" t="n">
        <f aca="false">SUMIFS(Rashodi_detalji!$L$10:$L$85,Rashodi_detalji!$A$10:$A$85,"2202")</f>
        <v>2903661</v>
      </c>
      <c r="E11" s="12" t="n">
        <f aca="false">SUMIFS(Rashodi_detalji!$M$10:$M$85,Rashodi_detalji!$A$10:$A$85,"2202")</f>
        <v>2947215.91</v>
      </c>
      <c r="F11" s="12" t="n">
        <f aca="false">SUMIFS(Rashodi_detalji!$N$10:$N$85,Rashodi_detalji!$A$10:$A$85,"2202")</f>
        <v>2991332.98</v>
      </c>
    </row>
    <row r="12" customFormat="false" ht="15" hidden="false" customHeight="false" outlineLevel="0" collapsed="false">
      <c r="A12" s="13" t="s">
        <v>253</v>
      </c>
      <c r="B12" s="13" t="s">
        <v>254</v>
      </c>
      <c r="C12" s="14"/>
      <c r="D12" s="15" t="n">
        <f aca="false">SUMIFS(Rashodi_detalji!$L$10:$L$85,Rashodi_detalji!$B$10:$B$85,"A2202-01")</f>
        <v>405161</v>
      </c>
      <c r="E12" s="15" t="n">
        <f aca="false">SUMIFS(Rashodi_detalji!$M$10:$M$85,Rashodi_detalji!$B$10:$B$85,"A2202-01")</f>
        <v>411238.41</v>
      </c>
      <c r="F12" s="15" t="n">
        <f aca="false">SUMIFS(Rashodi_detalji!$N$10:$N$85,Rashodi_detalji!$B$10:$B$85,"A2202-01")</f>
        <v>417315.83</v>
      </c>
    </row>
    <row r="13" customFormat="false" ht="15" hidden="false" customHeight="false" outlineLevel="0" collapsed="false">
      <c r="A13" s="24" t="s">
        <v>255</v>
      </c>
      <c r="B13" s="24" t="s">
        <v>256</v>
      </c>
      <c r="C13" s="25" t="s">
        <v>193</v>
      </c>
      <c r="D13" s="26" t="n">
        <f aca="false">SUMIFS(Rashodi_detalji!$L$10:$L$85,Rashodi_detalji!$B$10:$B$85,"A2202-01",Rashodi_detalji!$E$10:$E$85,"451")</f>
        <v>405161</v>
      </c>
      <c r="E13" s="26" t="n">
        <f aca="false">SUMIFS(Rashodi_detalji!$M$10:$M$85,Rashodi_detalji!$B$10:$B$85,"A2202-01",Rashodi_detalji!$E$10:$E$85,"451")</f>
        <v>411238.41</v>
      </c>
      <c r="F13" s="26" t="n">
        <f aca="false">SUMIFS(Rashodi_detalji!$N$10:$N$85,Rashodi_detalji!$B$10:$B$85,"A2202-01",Rashodi_detalji!$E$10:$E$85,"451")</f>
        <v>417315.83</v>
      </c>
    </row>
    <row r="14" customFormat="false" ht="15" hidden="false" customHeight="false" outlineLevel="0" collapsed="false">
      <c r="A14" s="6" t="s">
        <v>257</v>
      </c>
      <c r="B14" s="6" t="s">
        <v>258</v>
      </c>
      <c r="C14" s="7" t="s">
        <v>193</v>
      </c>
      <c r="D14" s="8" t="n">
        <f aca="false">SUMIFS(Rashodi_detalji!$L$10:$L$85,Rashodi_detalji!$B$10:$B$85,"A2202-01",Rashodi_detalji!$E$10:$E$85,"451",Rashodi_detalji!$F$10:$F$85,"32111")</f>
        <v>3500</v>
      </c>
      <c r="E14" s="8" t="n">
        <f aca="false">SUMIFS(Rashodi_detalji!$M$10:$M$85,Rashodi_detalji!$B$10:$B$85,"A2202-01",Rashodi_detalji!$E$10:$E$85,"451",Rashodi_detalji!$F$10:$F$85,"32111")</f>
        <v>3552.5</v>
      </c>
      <c r="F14" s="8" t="n">
        <f aca="false">SUMIFS(Rashodi_detalji!$N$10:$N$85,Rashodi_detalji!$B$10:$B$85,"A2202-01",Rashodi_detalji!$E$10:$E$85,"451",Rashodi_detalji!$F$10:$F$85,"32111")</f>
        <v>3605</v>
      </c>
    </row>
    <row r="15" customFormat="false" ht="15" hidden="false" customHeight="false" outlineLevel="0" collapsed="false">
      <c r="A15" s="6" t="s">
        <v>259</v>
      </c>
      <c r="B15" s="6" t="s">
        <v>260</v>
      </c>
      <c r="C15" s="7" t="s">
        <v>193</v>
      </c>
      <c r="D15" s="8" t="n">
        <f aca="false">SUMIFS(Rashodi_detalji!$L$10:$L$85,Rashodi_detalji!$B$10:$B$85,"A2202-01",Rashodi_detalji!$E$10:$E$85,"451",Rashodi_detalji!$F$10:$F$85,"32131")</f>
        <v>1500</v>
      </c>
      <c r="E15" s="8" t="n">
        <f aca="false">SUMIFS(Rashodi_detalji!$M$10:$M$85,Rashodi_detalji!$B$10:$B$85,"A2202-01",Rashodi_detalji!$E$10:$E$85,"451",Rashodi_detalji!$F$10:$F$85,"32131")</f>
        <v>1522.5</v>
      </c>
      <c r="F15" s="8" t="n">
        <f aca="false">SUMIFS(Rashodi_detalji!$N$10:$N$85,Rashodi_detalji!$B$10:$B$85,"A2202-01",Rashodi_detalji!$E$10:$E$85,"451",Rashodi_detalji!$F$10:$F$85,"32131")</f>
        <v>1545</v>
      </c>
    </row>
    <row r="16" customFormat="false" ht="15" hidden="false" customHeight="false" outlineLevel="0" collapsed="false">
      <c r="A16" s="6" t="s">
        <v>261</v>
      </c>
      <c r="B16" s="6" t="s">
        <v>112</v>
      </c>
      <c r="C16" s="7" t="s">
        <v>193</v>
      </c>
      <c r="D16" s="8" t="n">
        <f aca="false">SUMIFS(Rashodi_detalji!$L$10:$L$85,Rashodi_detalji!$B$10:$B$85,"A2202-01",Rashodi_detalji!$E$10:$E$85,"451",Rashodi_detalji!$F$10:$F$85,"32149")</f>
        <v>1000</v>
      </c>
      <c r="E16" s="8" t="n">
        <f aca="false">SUMIFS(Rashodi_detalji!$M$10:$M$85,Rashodi_detalji!$B$10:$B$85,"A2202-01",Rashodi_detalji!$E$10:$E$85,"451",Rashodi_detalji!$F$10:$F$85,"32149")</f>
        <v>1015</v>
      </c>
      <c r="F16" s="8" t="n">
        <f aca="false">SUMIFS(Rashodi_detalji!$N$10:$N$85,Rashodi_detalji!$B$10:$B$85,"A2202-01",Rashodi_detalji!$E$10:$E$85,"451",Rashodi_detalji!$F$10:$F$85,"32149")</f>
        <v>1030</v>
      </c>
    </row>
    <row r="17" customFormat="false" ht="15" hidden="false" customHeight="false" outlineLevel="0" collapsed="false">
      <c r="A17" s="6" t="s">
        <v>262</v>
      </c>
      <c r="B17" s="6" t="s">
        <v>263</v>
      </c>
      <c r="C17" s="7" t="s">
        <v>193</v>
      </c>
      <c r="D17" s="8" t="n">
        <f aca="false">SUMIFS(Rashodi_detalji!$L$10:$L$85,Rashodi_detalji!$B$10:$B$85,"A2202-01",Rashodi_detalji!$E$10:$E$85,"451",Rashodi_detalji!$F$10:$F$85,"32211")</f>
        <v>7500</v>
      </c>
      <c r="E17" s="8" t="n">
        <f aca="false">SUMIFS(Rashodi_detalji!$M$10:$M$85,Rashodi_detalji!$B$10:$B$85,"A2202-01",Rashodi_detalji!$E$10:$E$85,"451",Rashodi_detalji!$F$10:$F$85,"32211")</f>
        <v>7612.5</v>
      </c>
      <c r="F17" s="8" t="n">
        <f aca="false">SUMIFS(Rashodi_detalji!$N$10:$N$85,Rashodi_detalji!$B$10:$B$85,"A2202-01",Rashodi_detalji!$E$10:$E$85,"451",Rashodi_detalji!$F$10:$F$85,"32211")</f>
        <v>7725</v>
      </c>
    </row>
    <row r="18" customFormat="false" ht="15" hidden="false" customHeight="false" outlineLevel="0" collapsed="false">
      <c r="A18" s="6" t="s">
        <v>264</v>
      </c>
      <c r="B18" s="6" t="s">
        <v>265</v>
      </c>
      <c r="C18" s="7" t="s">
        <v>193</v>
      </c>
      <c r="D18" s="8" t="n">
        <f aca="false">SUMIFS(Rashodi_detalji!$L$10:$L$85,Rashodi_detalji!$B$10:$B$85,"A2202-01",Rashodi_detalji!$E$10:$E$85,"451",Rashodi_detalji!$F$10:$F$85,"32221")</f>
        <v>2000</v>
      </c>
      <c r="E18" s="8" t="n">
        <f aca="false">SUMIFS(Rashodi_detalji!$M$10:$M$85,Rashodi_detalji!$B$10:$B$85,"A2202-01",Rashodi_detalji!$E$10:$E$85,"451",Rashodi_detalji!$F$10:$F$85,"32221")</f>
        <v>2030</v>
      </c>
      <c r="F18" s="8" t="n">
        <f aca="false">SUMIFS(Rashodi_detalji!$N$10:$N$85,Rashodi_detalji!$B$10:$B$85,"A2202-01",Rashodi_detalji!$E$10:$E$85,"451",Rashodi_detalji!$F$10:$F$85,"32221")</f>
        <v>2060</v>
      </c>
    </row>
    <row r="19" customFormat="false" ht="15" hidden="false" customHeight="false" outlineLevel="0" collapsed="false">
      <c r="A19" s="6" t="s">
        <v>266</v>
      </c>
      <c r="B19" s="6" t="s">
        <v>267</v>
      </c>
      <c r="C19" s="7" t="s">
        <v>193</v>
      </c>
      <c r="D19" s="8" t="n">
        <f aca="false">SUMIFS(Rashodi_detalji!$L$10:$L$85,Rashodi_detalji!$B$10:$B$85,"A2202-01",Rashodi_detalji!$E$10:$E$85,"451",Rashodi_detalji!$F$10:$F$85,"32231")</f>
        <v>21000</v>
      </c>
      <c r="E19" s="8" t="n">
        <f aca="false">SUMIFS(Rashodi_detalji!$M$10:$M$85,Rashodi_detalji!$B$10:$B$85,"A2202-01",Rashodi_detalji!$E$10:$E$85,"451",Rashodi_detalji!$F$10:$F$85,"32231")</f>
        <v>21315</v>
      </c>
      <c r="F19" s="8" t="n">
        <f aca="false">SUMIFS(Rashodi_detalji!$N$10:$N$85,Rashodi_detalji!$B$10:$B$85,"A2202-01",Rashodi_detalji!$E$10:$E$85,"451",Rashodi_detalji!$F$10:$F$85,"32231")</f>
        <v>21630</v>
      </c>
    </row>
    <row r="20" customFormat="false" ht="15" hidden="false" customHeight="false" outlineLevel="0" collapsed="false">
      <c r="A20" s="6" t="s">
        <v>268</v>
      </c>
      <c r="B20" s="6" t="s">
        <v>269</v>
      </c>
      <c r="C20" s="7" t="s">
        <v>193</v>
      </c>
      <c r="D20" s="8" t="n">
        <f aca="false">SUMIFS(Rashodi_detalji!$L$10:$L$85,Rashodi_detalji!$B$10:$B$85,"A2202-01",Rashodi_detalji!$E$10:$E$85,"451",Rashodi_detalji!$F$10:$F$85,"32234")</f>
        <v>42764.95</v>
      </c>
      <c r="E20" s="8" t="n">
        <f aca="false">SUMIFS(Rashodi_detalji!$M$10:$M$85,Rashodi_detalji!$B$10:$B$85,"A2202-01",Rashodi_detalji!$E$10:$E$85,"451",Rashodi_detalji!$F$10:$F$85,"32234")</f>
        <v>43406.42</v>
      </c>
      <c r="F20" s="8" t="n">
        <f aca="false">SUMIFS(Rashodi_detalji!$N$10:$N$85,Rashodi_detalji!$B$10:$B$85,"A2202-01",Rashodi_detalji!$E$10:$E$85,"451",Rashodi_detalji!$F$10:$F$85,"32234")</f>
        <v>44047.9</v>
      </c>
    </row>
    <row r="21" customFormat="false" ht="15" hidden="false" customHeight="false" outlineLevel="0" collapsed="false">
      <c r="A21" s="6" t="s">
        <v>270</v>
      </c>
      <c r="B21" s="6" t="s">
        <v>271</v>
      </c>
      <c r="C21" s="7" t="s">
        <v>193</v>
      </c>
      <c r="D21" s="8" t="n">
        <f aca="false">SUMIFS(Rashodi_detalji!$L$10:$L$85,Rashodi_detalji!$B$10:$B$85,"A2202-01",Rashodi_detalji!$E$10:$E$85,"451",Rashodi_detalji!$F$10:$F$85,"32239")</f>
        <v>1000</v>
      </c>
      <c r="E21" s="8" t="n">
        <f aca="false">SUMIFS(Rashodi_detalji!$M$10:$M$85,Rashodi_detalji!$B$10:$B$85,"A2202-01",Rashodi_detalji!$E$10:$E$85,"451",Rashodi_detalji!$F$10:$F$85,"32239")</f>
        <v>1015</v>
      </c>
      <c r="F21" s="8" t="n">
        <f aca="false">SUMIFS(Rashodi_detalji!$N$10:$N$85,Rashodi_detalji!$B$10:$B$85,"A2202-01",Rashodi_detalji!$E$10:$E$85,"451",Rashodi_detalji!$F$10:$F$85,"32239")</f>
        <v>1030</v>
      </c>
    </row>
    <row r="22" customFormat="false" ht="15" hidden="false" customHeight="false" outlineLevel="0" collapsed="false">
      <c r="A22" s="6" t="s">
        <v>272</v>
      </c>
      <c r="B22" s="6" t="s">
        <v>273</v>
      </c>
      <c r="C22" s="7" t="s">
        <v>193</v>
      </c>
      <c r="D22" s="8" t="n">
        <f aca="false">SUMIFS(Rashodi_detalji!$L$10:$L$85,Rashodi_detalji!$B$10:$B$85,"A2202-01",Rashodi_detalji!$E$10:$E$85,"451",Rashodi_detalji!$F$10:$F$85,"32241")</f>
        <v>3000</v>
      </c>
      <c r="E22" s="8" t="n">
        <f aca="false">SUMIFS(Rashodi_detalji!$M$10:$M$85,Rashodi_detalji!$B$10:$B$85,"A2202-01",Rashodi_detalji!$E$10:$E$85,"451",Rashodi_detalji!$F$10:$F$85,"32241")</f>
        <v>3045</v>
      </c>
      <c r="F22" s="8" t="n">
        <f aca="false">SUMIFS(Rashodi_detalji!$N$10:$N$85,Rashodi_detalji!$B$10:$B$85,"A2202-01",Rashodi_detalji!$E$10:$E$85,"451",Rashodi_detalji!$F$10:$F$85,"32241")</f>
        <v>3090</v>
      </c>
    </row>
    <row r="23" customFormat="false" ht="15" hidden="false" customHeight="false" outlineLevel="0" collapsed="false">
      <c r="A23" s="6" t="s">
        <v>274</v>
      </c>
      <c r="B23" s="6" t="s">
        <v>275</v>
      </c>
      <c r="C23" s="7" t="s">
        <v>193</v>
      </c>
      <c r="D23" s="8" t="n">
        <f aca="false">SUMIFS(Rashodi_detalji!$L$10:$L$85,Rashodi_detalji!$B$10:$B$85,"A2202-01",Rashodi_detalji!$E$10:$E$85,"451",Rashodi_detalji!$F$10:$F$85,"32251")</f>
        <v>500</v>
      </c>
      <c r="E23" s="8" t="n">
        <f aca="false">SUMIFS(Rashodi_detalji!$M$10:$M$85,Rashodi_detalji!$B$10:$B$85,"A2202-01",Rashodi_detalji!$E$10:$E$85,"451",Rashodi_detalji!$F$10:$F$85,"32251")</f>
        <v>507.5</v>
      </c>
      <c r="F23" s="8" t="n">
        <f aca="false">SUMIFS(Rashodi_detalji!$N$10:$N$85,Rashodi_detalji!$B$10:$B$85,"A2202-01",Rashodi_detalji!$E$10:$E$85,"451",Rashodi_detalji!$F$10:$F$85,"32251")</f>
        <v>515</v>
      </c>
    </row>
    <row r="24" customFormat="false" ht="15" hidden="false" customHeight="false" outlineLevel="0" collapsed="false">
      <c r="A24" s="6" t="s">
        <v>276</v>
      </c>
      <c r="B24" s="6" t="s">
        <v>126</v>
      </c>
      <c r="C24" s="7" t="s">
        <v>193</v>
      </c>
      <c r="D24" s="8" t="n">
        <f aca="false">SUMIFS(Rashodi_detalji!$L$10:$L$85,Rashodi_detalji!$B$10:$B$85,"A2202-01",Rashodi_detalji!$E$10:$E$85,"451",Rashodi_detalji!$F$10:$F$85,"32271")</f>
        <v>1500</v>
      </c>
      <c r="E24" s="8" t="n">
        <f aca="false">SUMIFS(Rashodi_detalji!$M$10:$M$85,Rashodi_detalji!$B$10:$B$85,"A2202-01",Rashodi_detalji!$E$10:$E$85,"451",Rashodi_detalji!$F$10:$F$85,"32271")</f>
        <v>1522.5</v>
      </c>
      <c r="F24" s="8" t="n">
        <f aca="false">SUMIFS(Rashodi_detalji!$N$10:$N$85,Rashodi_detalji!$B$10:$B$85,"A2202-01",Rashodi_detalji!$E$10:$E$85,"451",Rashodi_detalji!$F$10:$F$85,"32271")</f>
        <v>1545</v>
      </c>
    </row>
    <row r="25" customFormat="false" ht="15" hidden="false" customHeight="false" outlineLevel="0" collapsed="false">
      <c r="A25" s="6" t="s">
        <v>277</v>
      </c>
      <c r="B25" s="6" t="s">
        <v>278</v>
      </c>
      <c r="C25" s="7" t="s">
        <v>193</v>
      </c>
      <c r="D25" s="8" t="n">
        <f aca="false">SUMIFS(Rashodi_detalji!$L$10:$L$85,Rashodi_detalji!$B$10:$B$85,"A2202-01",Rashodi_detalji!$E$10:$E$85,"451",Rashodi_detalji!$F$10:$F$85,"32311")</f>
        <v>2200</v>
      </c>
      <c r="E25" s="8" t="n">
        <f aca="false">SUMIFS(Rashodi_detalji!$M$10:$M$85,Rashodi_detalji!$B$10:$B$85,"A2202-01",Rashodi_detalji!$E$10:$E$85,"451",Rashodi_detalji!$F$10:$F$85,"32311")</f>
        <v>2233</v>
      </c>
      <c r="F25" s="8" t="n">
        <f aca="false">SUMIFS(Rashodi_detalji!$N$10:$N$85,Rashodi_detalji!$B$10:$B$85,"A2202-01",Rashodi_detalji!$E$10:$E$85,"451",Rashodi_detalji!$F$10:$F$85,"32311")</f>
        <v>2266</v>
      </c>
    </row>
    <row r="26" customFormat="false" ht="15" hidden="false" customHeight="false" outlineLevel="0" collapsed="false">
      <c r="A26" s="6" t="s">
        <v>279</v>
      </c>
      <c r="B26" s="6" t="s">
        <v>280</v>
      </c>
      <c r="C26" s="7" t="s">
        <v>193</v>
      </c>
      <c r="D26" s="8" t="n">
        <f aca="false">SUMIFS(Rashodi_detalji!$L$10:$L$85,Rashodi_detalji!$B$10:$B$85,"A2202-01",Rashodi_detalji!$E$10:$E$85,"451",Rashodi_detalji!$F$10:$F$85,"32321")</f>
        <v>6996.05</v>
      </c>
      <c r="E26" s="8" t="n">
        <f aca="false">SUMIFS(Rashodi_detalji!$M$10:$M$85,Rashodi_detalji!$B$10:$B$85,"A2202-01",Rashodi_detalji!$E$10:$E$85,"451",Rashodi_detalji!$F$10:$F$85,"32321")</f>
        <v>7100.99</v>
      </c>
      <c r="F26" s="8" t="n">
        <f aca="false">SUMIFS(Rashodi_detalji!$N$10:$N$85,Rashodi_detalji!$B$10:$B$85,"A2202-01",Rashodi_detalji!$E$10:$E$85,"451",Rashodi_detalji!$F$10:$F$85,"32321")</f>
        <v>7205.93</v>
      </c>
    </row>
    <row r="27" customFormat="false" ht="15" hidden="false" customHeight="false" outlineLevel="0" collapsed="false">
      <c r="A27" s="6" t="s">
        <v>281</v>
      </c>
      <c r="B27" s="6" t="s">
        <v>282</v>
      </c>
      <c r="C27" s="7" t="s">
        <v>193</v>
      </c>
      <c r="D27" s="8" t="n">
        <f aca="false">SUMIFS(Rashodi_detalji!$L$10:$L$85,Rashodi_detalji!$B$10:$B$85,"A2202-01",Rashodi_detalji!$E$10:$E$85,"451",Rashodi_detalji!$F$10:$F$85,"32341")</f>
        <v>21000</v>
      </c>
      <c r="E27" s="8" t="n">
        <f aca="false">SUMIFS(Rashodi_detalji!$M$10:$M$85,Rashodi_detalji!$B$10:$B$85,"A2202-01",Rashodi_detalji!$E$10:$E$85,"451",Rashodi_detalji!$F$10:$F$85,"32341")</f>
        <v>21315</v>
      </c>
      <c r="F27" s="8" t="n">
        <f aca="false">SUMIFS(Rashodi_detalji!$N$10:$N$85,Rashodi_detalji!$B$10:$B$85,"A2202-01",Rashodi_detalji!$E$10:$E$85,"451",Rashodi_detalji!$F$10:$F$85,"32341")</f>
        <v>21630</v>
      </c>
    </row>
    <row r="28" customFormat="false" ht="15" hidden="false" customHeight="false" outlineLevel="0" collapsed="false">
      <c r="A28" s="6" t="s">
        <v>283</v>
      </c>
      <c r="B28" s="6" t="s">
        <v>284</v>
      </c>
      <c r="C28" s="7" t="s">
        <v>193</v>
      </c>
      <c r="D28" s="8" t="n">
        <f aca="false">SUMIFS(Rashodi_detalji!$L$10:$L$85,Rashodi_detalji!$B$10:$B$85,"A2202-01",Rashodi_detalji!$E$10:$E$85,"451",Rashodi_detalji!$F$10:$F$85,"32349")</f>
        <v>1000</v>
      </c>
      <c r="E28" s="8" t="n">
        <f aca="false">SUMIFS(Rashodi_detalji!$M$10:$M$85,Rashodi_detalji!$B$10:$B$85,"A2202-01",Rashodi_detalji!$E$10:$E$85,"451",Rashodi_detalji!$F$10:$F$85,"32349")</f>
        <v>1015</v>
      </c>
      <c r="F28" s="8" t="n">
        <f aca="false">SUMIFS(Rashodi_detalji!$N$10:$N$85,Rashodi_detalji!$B$10:$B$85,"A2202-01",Rashodi_detalji!$E$10:$E$85,"451",Rashodi_detalji!$F$10:$F$85,"32349")</f>
        <v>1030</v>
      </c>
    </row>
    <row r="29" customFormat="false" ht="15" hidden="false" customHeight="false" outlineLevel="0" collapsed="false">
      <c r="A29" s="6" t="s">
        <v>285</v>
      </c>
      <c r="B29" s="6" t="s">
        <v>286</v>
      </c>
      <c r="C29" s="7" t="s">
        <v>193</v>
      </c>
      <c r="D29" s="8" t="n">
        <f aca="false">SUMIFS(Rashodi_detalji!$L$10:$L$85,Rashodi_detalji!$B$10:$B$85,"A2202-01",Rashodi_detalji!$E$10:$E$85,"451",Rashodi_detalji!$F$10:$F$85,"32353")</f>
        <v>267700</v>
      </c>
      <c r="E29" s="8" t="n">
        <f aca="false">SUMIFS(Rashodi_detalji!$M$10:$M$85,Rashodi_detalji!$B$10:$B$85,"A2202-01",Rashodi_detalji!$E$10:$E$85,"451",Rashodi_detalji!$F$10:$F$85,"32353")</f>
        <v>271715.5</v>
      </c>
      <c r="F29" s="8" t="n">
        <f aca="false">SUMIFS(Rashodi_detalji!$N$10:$N$85,Rashodi_detalji!$B$10:$B$85,"A2202-01",Rashodi_detalji!$E$10:$E$85,"451",Rashodi_detalji!$F$10:$F$85,"32353")</f>
        <v>275731</v>
      </c>
    </row>
    <row r="30" customFormat="false" ht="15" hidden="false" customHeight="false" outlineLevel="0" collapsed="false">
      <c r="A30" s="6" t="s">
        <v>287</v>
      </c>
      <c r="B30" s="6" t="s">
        <v>288</v>
      </c>
      <c r="C30" s="7" t="s">
        <v>193</v>
      </c>
      <c r="D30" s="8" t="n">
        <f aca="false">SUMIFS(Rashodi_detalji!$L$10:$L$85,Rashodi_detalji!$B$10:$B$85,"A2202-01",Rashodi_detalji!$E$10:$E$85,"451",Rashodi_detalji!$F$10:$F$85,"32359")</f>
        <v>2700</v>
      </c>
      <c r="E30" s="8" t="n">
        <f aca="false">SUMIFS(Rashodi_detalji!$M$10:$M$85,Rashodi_detalji!$B$10:$B$85,"A2202-01",Rashodi_detalji!$E$10:$E$85,"451",Rashodi_detalji!$F$10:$F$85,"32359")</f>
        <v>2740.5</v>
      </c>
      <c r="F30" s="8" t="n">
        <f aca="false">SUMIFS(Rashodi_detalji!$N$10:$N$85,Rashodi_detalji!$B$10:$B$85,"A2202-01",Rashodi_detalji!$E$10:$E$85,"451",Rashodi_detalji!$F$10:$F$85,"32359")</f>
        <v>2781</v>
      </c>
    </row>
    <row r="31" customFormat="false" ht="15" hidden="false" customHeight="false" outlineLevel="0" collapsed="false">
      <c r="A31" s="6" t="s">
        <v>289</v>
      </c>
      <c r="B31" s="6" t="s">
        <v>290</v>
      </c>
      <c r="C31" s="7" t="s">
        <v>193</v>
      </c>
      <c r="D31" s="8" t="n">
        <f aca="false">SUMIFS(Rashodi_detalji!$L$10:$L$85,Rashodi_detalji!$B$10:$B$85,"A2202-01",Rashodi_detalji!$E$10:$E$85,"451",Rashodi_detalji!$F$10:$F$85,"32361")</f>
        <v>7300</v>
      </c>
      <c r="E31" s="8" t="n">
        <f aca="false">SUMIFS(Rashodi_detalji!$M$10:$M$85,Rashodi_detalji!$B$10:$B$85,"A2202-01",Rashodi_detalji!$E$10:$E$85,"451",Rashodi_detalji!$F$10:$F$85,"32361")</f>
        <v>7409.5</v>
      </c>
      <c r="F31" s="8" t="n">
        <f aca="false">SUMIFS(Rashodi_detalji!$N$10:$N$85,Rashodi_detalji!$B$10:$B$85,"A2202-01",Rashodi_detalji!$E$10:$E$85,"451",Rashodi_detalji!$F$10:$F$85,"32361")</f>
        <v>7519</v>
      </c>
    </row>
    <row r="32" customFormat="false" ht="15" hidden="false" customHeight="false" outlineLevel="0" collapsed="false">
      <c r="A32" s="6" t="s">
        <v>291</v>
      </c>
      <c r="B32" s="6" t="s">
        <v>292</v>
      </c>
      <c r="C32" s="7" t="s">
        <v>193</v>
      </c>
      <c r="D32" s="8" t="n">
        <f aca="false">SUMIFS(Rashodi_detalji!$L$10:$L$85,Rashodi_detalji!$B$10:$B$85,"A2202-01",Rashodi_detalji!$E$10:$E$85,"451",Rashodi_detalji!$F$10:$F$85,"32379")</f>
        <v>2500</v>
      </c>
      <c r="E32" s="8" t="n">
        <f aca="false">SUMIFS(Rashodi_detalji!$M$10:$M$85,Rashodi_detalji!$B$10:$B$85,"A2202-01",Rashodi_detalji!$E$10:$E$85,"451",Rashodi_detalji!$F$10:$F$85,"32379")</f>
        <v>2537.5</v>
      </c>
      <c r="F32" s="8" t="n">
        <f aca="false">SUMIFS(Rashodi_detalji!$N$10:$N$85,Rashodi_detalji!$B$10:$B$85,"A2202-01",Rashodi_detalji!$E$10:$E$85,"451",Rashodi_detalji!$F$10:$F$85,"32379")</f>
        <v>2575</v>
      </c>
    </row>
    <row r="33" customFormat="false" ht="15" hidden="false" customHeight="false" outlineLevel="0" collapsed="false">
      <c r="A33" s="6" t="s">
        <v>293</v>
      </c>
      <c r="B33" s="6" t="s">
        <v>294</v>
      </c>
      <c r="C33" s="7" t="s">
        <v>193</v>
      </c>
      <c r="D33" s="8" t="n">
        <f aca="false">SUMIFS(Rashodi_detalji!$L$10:$L$85,Rashodi_detalji!$B$10:$B$85,"A2202-01",Rashodi_detalji!$E$10:$E$85,"451",Rashodi_detalji!$F$10:$F$85,"32389")</f>
        <v>5000</v>
      </c>
      <c r="E33" s="8" t="n">
        <f aca="false">SUMIFS(Rashodi_detalji!$M$10:$M$85,Rashodi_detalji!$B$10:$B$85,"A2202-01",Rashodi_detalji!$E$10:$E$85,"451",Rashodi_detalji!$F$10:$F$85,"32389")</f>
        <v>5075</v>
      </c>
      <c r="F33" s="8" t="n">
        <f aca="false">SUMIFS(Rashodi_detalji!$N$10:$N$85,Rashodi_detalji!$B$10:$B$85,"A2202-01",Rashodi_detalji!$E$10:$E$85,"451",Rashodi_detalji!$F$10:$F$85,"32389")</f>
        <v>5150</v>
      </c>
    </row>
    <row r="34" customFormat="false" ht="15" hidden="false" customHeight="false" outlineLevel="0" collapsed="false">
      <c r="A34" s="6" t="s">
        <v>295</v>
      </c>
      <c r="B34" s="6" t="s">
        <v>296</v>
      </c>
      <c r="C34" s="7" t="s">
        <v>193</v>
      </c>
      <c r="D34" s="8" t="n">
        <f aca="false">SUMIFS(Rashodi_detalji!$L$10:$L$85,Rashodi_detalji!$B$10:$B$85,"A2202-01",Rashodi_detalji!$E$10:$E$85,"451",Rashodi_detalji!$F$10:$F$85,"32922")</f>
        <v>2000</v>
      </c>
      <c r="E34" s="8" t="n">
        <f aca="false">SUMIFS(Rashodi_detalji!$M$10:$M$85,Rashodi_detalji!$B$10:$B$85,"A2202-01",Rashodi_detalji!$E$10:$E$85,"451",Rashodi_detalji!$F$10:$F$85,"32922")</f>
        <v>2030</v>
      </c>
      <c r="F34" s="8" t="n">
        <f aca="false">SUMIFS(Rashodi_detalji!$N$10:$N$85,Rashodi_detalji!$B$10:$B$85,"A2202-01",Rashodi_detalji!$E$10:$E$85,"451",Rashodi_detalji!$F$10:$F$85,"32922")</f>
        <v>2060</v>
      </c>
    </row>
    <row r="35" customFormat="false" ht="15" hidden="false" customHeight="false" outlineLevel="0" collapsed="false">
      <c r="A35" s="6" t="s">
        <v>297</v>
      </c>
      <c r="B35" s="6" t="s">
        <v>298</v>
      </c>
      <c r="C35" s="7" t="s">
        <v>193</v>
      </c>
      <c r="D35" s="8" t="n">
        <f aca="false">SUMIFS(Rashodi_detalji!$L$10:$L$85,Rashodi_detalji!$B$10:$B$85,"A2202-01",Rashodi_detalji!$E$10:$E$85,"451",Rashodi_detalji!$F$10:$F$85,"32941")</f>
        <v>600</v>
      </c>
      <c r="E35" s="8" t="n">
        <f aca="false">SUMIFS(Rashodi_detalji!$M$10:$M$85,Rashodi_detalji!$B$10:$B$85,"A2202-01",Rashodi_detalji!$E$10:$E$85,"451",Rashodi_detalji!$F$10:$F$85,"32941")</f>
        <v>609</v>
      </c>
      <c r="F35" s="8" t="n">
        <f aca="false">SUMIFS(Rashodi_detalji!$N$10:$N$85,Rashodi_detalji!$B$10:$B$85,"A2202-01",Rashodi_detalji!$E$10:$E$85,"451",Rashodi_detalji!$F$10:$F$85,"32941")</f>
        <v>618</v>
      </c>
    </row>
    <row r="36" customFormat="false" ht="15" hidden="false" customHeight="false" outlineLevel="0" collapsed="false">
      <c r="A36" s="6" t="s">
        <v>299</v>
      </c>
      <c r="B36" s="6" t="s">
        <v>300</v>
      </c>
      <c r="C36" s="7" t="s">
        <v>193</v>
      </c>
      <c r="D36" s="8" t="n">
        <f aca="false">SUMIFS(Rashodi_detalji!$L$10:$L$85,Rashodi_detalji!$B$10:$B$85,"A2202-01",Rashodi_detalji!$E$10:$E$85,"451",Rashodi_detalji!$F$10:$F$85,"32952")</f>
        <v>0</v>
      </c>
      <c r="E36" s="8" t="n">
        <f aca="false">SUMIFS(Rashodi_detalji!$M$10:$M$85,Rashodi_detalji!$B$10:$B$85,"A2202-01",Rashodi_detalji!$E$10:$E$85,"451",Rashodi_detalji!$F$10:$F$85,"32952")</f>
        <v>0</v>
      </c>
      <c r="F36" s="8" t="n">
        <f aca="false">SUMIFS(Rashodi_detalji!$N$10:$N$85,Rashodi_detalji!$B$10:$B$85,"A2202-01",Rashodi_detalji!$E$10:$E$85,"451",Rashodi_detalji!$F$10:$F$85,"32952")</f>
        <v>0</v>
      </c>
    </row>
    <row r="37" customFormat="false" ht="15" hidden="false" customHeight="false" outlineLevel="0" collapsed="false">
      <c r="A37" s="6" t="s">
        <v>301</v>
      </c>
      <c r="B37" s="6" t="s">
        <v>302</v>
      </c>
      <c r="C37" s="7" t="s">
        <v>193</v>
      </c>
      <c r="D37" s="8" t="n">
        <f aca="false">SUMIFS(Rashodi_detalji!$L$10:$L$85,Rashodi_detalji!$B$10:$B$85,"A2202-01",Rashodi_detalji!$E$10:$E$85,"451",Rashodi_detalji!$F$10:$F$85,"34312")</f>
        <v>900</v>
      </c>
      <c r="E37" s="8" t="n">
        <f aca="false">SUMIFS(Rashodi_detalji!$M$10:$M$85,Rashodi_detalji!$B$10:$B$85,"A2202-01",Rashodi_detalji!$E$10:$E$85,"451",Rashodi_detalji!$F$10:$F$85,"34312")</f>
        <v>913.5</v>
      </c>
      <c r="F37" s="8" t="n">
        <f aca="false">SUMIFS(Rashodi_detalji!$N$10:$N$85,Rashodi_detalji!$B$10:$B$85,"A2202-01",Rashodi_detalji!$E$10:$E$85,"451",Rashodi_detalji!$F$10:$F$85,"34312")</f>
        <v>927</v>
      </c>
    </row>
    <row r="38" customFormat="false" ht="15" hidden="false" customHeight="false" outlineLevel="0" collapsed="false">
      <c r="A38" s="13" t="s">
        <v>303</v>
      </c>
      <c r="B38" s="13" t="s">
        <v>304</v>
      </c>
      <c r="C38" s="14"/>
      <c r="D38" s="15" t="n">
        <f aca="false">SUMIFS(Rashodi_detalji!$L$10:$L$85,Rashodi_detalji!$B$10:$B$85,"A2202-04")</f>
        <v>2498500</v>
      </c>
      <c r="E38" s="15" t="n">
        <f aca="false">SUMIFS(Rashodi_detalji!$M$10:$M$85,Rashodi_detalji!$B$10:$B$85,"A2202-04")</f>
        <v>2535977.5</v>
      </c>
      <c r="F38" s="15" t="n">
        <f aca="false">SUMIFS(Rashodi_detalji!$N$10:$N$85,Rashodi_detalji!$B$10:$B$85,"A2202-04")</f>
        <v>2574017.15</v>
      </c>
    </row>
    <row r="39" customFormat="false" ht="15" hidden="false" customHeight="false" outlineLevel="0" collapsed="false">
      <c r="A39" s="24" t="s">
        <v>305</v>
      </c>
      <c r="B39" s="24" t="s">
        <v>306</v>
      </c>
      <c r="C39" s="25" t="s">
        <v>221</v>
      </c>
      <c r="D39" s="26" t="n">
        <f aca="false">SUMIFS(Rashodi_detalji!$L$10:$L$85,Rashodi_detalji!$B$10:$B$85,"A2202-04",Rashodi_detalji!$E$10:$E$85,"51035")</f>
        <v>2498500</v>
      </c>
      <c r="E39" s="26" t="n">
        <f aca="false">SUMIFS(Rashodi_detalji!$M$10:$M$85,Rashodi_detalji!$B$10:$B$85,"A2202-04",Rashodi_detalji!$E$10:$E$85,"51035")</f>
        <v>2535977.5</v>
      </c>
      <c r="F39" s="26" t="n">
        <f aca="false">SUMIFS(Rashodi_detalji!$N$10:$N$85,Rashodi_detalji!$B$10:$B$85,"A2202-04",Rashodi_detalji!$E$10:$E$85,"51035")</f>
        <v>2574017.15</v>
      </c>
    </row>
    <row r="40" customFormat="false" ht="15" hidden="false" customHeight="false" outlineLevel="0" collapsed="false">
      <c r="A40" s="6" t="s">
        <v>307</v>
      </c>
      <c r="B40" s="6" t="s">
        <v>93</v>
      </c>
      <c r="C40" s="7" t="s">
        <v>221</v>
      </c>
      <c r="D40" s="8" t="n">
        <f aca="false">SUMIFS(Rashodi_detalji!$L$10:$L$85,Rashodi_detalji!$B$10:$B$85,"A2202-04",Rashodi_detalji!$E$10:$E$85,"51035",Rashodi_detalji!$F$10:$F$85,"31111")</f>
        <v>1935000</v>
      </c>
      <c r="E40" s="8" t="n">
        <f aca="false">SUMIFS(Rashodi_detalji!$M$10:$M$85,Rashodi_detalji!$B$10:$B$85,"A2202-04",Rashodi_detalji!$E$10:$E$85,"51035",Rashodi_detalji!$F$10:$F$85,"31111")</f>
        <v>1964025</v>
      </c>
      <c r="F40" s="8" t="n">
        <f aca="false">SUMIFS(Rashodi_detalji!$N$10:$N$85,Rashodi_detalji!$B$10:$B$85,"A2202-04",Rashodi_detalji!$E$10:$E$85,"51035",Rashodi_detalji!$F$10:$F$85,"31111")</f>
        <v>1993485.37</v>
      </c>
    </row>
    <row r="41" customFormat="false" ht="15" hidden="false" customHeight="false" outlineLevel="0" collapsed="false">
      <c r="A41" s="6" t="s">
        <v>96</v>
      </c>
      <c r="B41" s="6" t="s">
        <v>95</v>
      </c>
      <c r="C41" s="7" t="s">
        <v>221</v>
      </c>
      <c r="D41" s="8" t="n">
        <f aca="false">SUMIFS(Rashodi_detalji!$L$10:$L$85,Rashodi_detalji!$B$10:$B$85,"A2202-04",Rashodi_detalji!$E$10:$E$85,"51035",Rashodi_detalji!$F$10:$F$85,"3121")</f>
        <v>87000</v>
      </c>
      <c r="E41" s="8" t="n">
        <f aca="false">SUMIFS(Rashodi_detalji!$M$10:$M$85,Rashodi_detalji!$B$10:$B$85,"A2202-04",Rashodi_detalji!$E$10:$E$85,"51035",Rashodi_detalji!$F$10:$F$85,"3121")</f>
        <v>88305</v>
      </c>
      <c r="F41" s="8" t="n">
        <f aca="false">SUMIFS(Rashodi_detalji!$N$10:$N$85,Rashodi_detalji!$B$10:$B$85,"A2202-04",Rashodi_detalji!$E$10:$E$85,"51035",Rashodi_detalji!$F$10:$F$85,"3121")</f>
        <v>89629.57</v>
      </c>
    </row>
    <row r="42" customFormat="false" ht="15" hidden="false" customHeight="false" outlineLevel="0" collapsed="false">
      <c r="A42" s="6" t="s">
        <v>308</v>
      </c>
      <c r="B42" s="6" t="s">
        <v>309</v>
      </c>
      <c r="C42" s="7" t="s">
        <v>221</v>
      </c>
      <c r="D42" s="8" t="n">
        <f aca="false">SUMIFS(Rashodi_detalji!$L$10:$L$85,Rashodi_detalji!$B$10:$B$85,"A2202-04",Rashodi_detalji!$E$10:$E$85,"51035",Rashodi_detalji!$F$10:$F$85,"31321")</f>
        <v>320000</v>
      </c>
      <c r="E42" s="8" t="n">
        <f aca="false">SUMIFS(Rashodi_detalji!$M$10:$M$85,Rashodi_detalji!$B$10:$B$85,"A2202-04",Rashodi_detalji!$E$10:$E$85,"51035",Rashodi_detalji!$F$10:$F$85,"31321")</f>
        <v>324800</v>
      </c>
      <c r="F42" s="8" t="n">
        <f aca="false">SUMIFS(Rashodi_detalji!$N$10:$N$85,Rashodi_detalji!$B$10:$B$85,"A2202-04",Rashodi_detalji!$E$10:$E$85,"51035",Rashodi_detalji!$F$10:$F$85,"31321")</f>
        <v>329672</v>
      </c>
    </row>
    <row r="43" customFormat="false" ht="15" hidden="false" customHeight="false" outlineLevel="0" collapsed="false">
      <c r="A43" s="6" t="s">
        <v>310</v>
      </c>
      <c r="B43" s="6" t="s">
        <v>311</v>
      </c>
      <c r="C43" s="7" t="s">
        <v>221</v>
      </c>
      <c r="D43" s="8" t="n">
        <f aca="false">SUMIFS(Rashodi_detalji!$L$10:$L$85,Rashodi_detalji!$B$10:$B$85,"A2202-04",Rashodi_detalji!$E$10:$E$85,"51035",Rashodi_detalji!$F$10:$F$85,"32121")</f>
        <v>150000</v>
      </c>
      <c r="E43" s="8" t="n">
        <f aca="false">SUMIFS(Rashodi_detalji!$M$10:$M$85,Rashodi_detalji!$B$10:$B$85,"A2202-04",Rashodi_detalji!$E$10:$E$85,"51035",Rashodi_detalji!$F$10:$F$85,"32121")</f>
        <v>152250</v>
      </c>
      <c r="F43" s="8" t="n">
        <f aca="false">SUMIFS(Rashodi_detalji!$N$10:$N$85,Rashodi_detalji!$B$10:$B$85,"A2202-04",Rashodi_detalji!$E$10:$E$85,"51035",Rashodi_detalji!$F$10:$F$85,"32121")</f>
        <v>154533.75</v>
      </c>
    </row>
    <row r="44" customFormat="false" ht="15" hidden="false" customHeight="false" outlineLevel="0" collapsed="false">
      <c r="A44" s="6" t="s">
        <v>312</v>
      </c>
      <c r="B44" s="6" t="s">
        <v>313</v>
      </c>
      <c r="C44" s="7" t="s">
        <v>221</v>
      </c>
      <c r="D44" s="8" t="n">
        <f aca="false">SUMIFS(Rashodi_detalji!$L$10:$L$85,Rashodi_detalji!$B$10:$B$85,"A2202-04",Rashodi_detalji!$E$10:$E$85,"51035",Rashodi_detalji!$F$10:$F$85,"32955")</f>
        <v>6500</v>
      </c>
      <c r="E44" s="8" t="n">
        <f aca="false">SUMIFS(Rashodi_detalji!$M$10:$M$85,Rashodi_detalji!$B$10:$B$85,"A2202-04",Rashodi_detalji!$E$10:$E$85,"51035",Rashodi_detalji!$F$10:$F$85,"32955")</f>
        <v>6597.5</v>
      </c>
      <c r="F44" s="8" t="n">
        <f aca="false">SUMIFS(Rashodi_detalji!$N$10:$N$85,Rashodi_detalji!$B$10:$B$85,"A2202-04",Rashodi_detalji!$E$10:$E$85,"51035",Rashodi_detalji!$F$10:$F$85,"32955")</f>
        <v>6696.46</v>
      </c>
    </row>
    <row r="45" customFormat="false" ht="15" hidden="false" customHeight="false" outlineLevel="0" collapsed="false">
      <c r="A45" s="10" t="s">
        <v>314</v>
      </c>
      <c r="B45" s="10" t="s">
        <v>315</v>
      </c>
      <c r="C45" s="11"/>
      <c r="D45" s="12" t="n">
        <f aca="false">SUMIFS(Rashodi_detalji!$L$10:$L$85,Rashodi_detalji!$A$10:$A$85,"2203")</f>
        <v>360597.34</v>
      </c>
      <c r="E45" s="12" t="n">
        <f aca="false">SUMIFS(Rashodi_detalji!$M$10:$M$85,Rashodi_detalji!$A$10:$A$85,"2203")</f>
        <v>366006.3</v>
      </c>
      <c r="F45" s="12" t="n">
        <f aca="false">SUMIFS(Rashodi_detalji!$N$10:$N$85,Rashodi_detalji!$A$10:$A$85,"2203")</f>
        <v>371496.4</v>
      </c>
    </row>
    <row r="46" customFormat="false" ht="15" hidden="false" customHeight="false" outlineLevel="0" collapsed="false">
      <c r="A46" s="13" t="s">
        <v>316</v>
      </c>
      <c r="B46" s="13" t="s">
        <v>317</v>
      </c>
      <c r="C46" s="14"/>
      <c r="D46" s="15" t="n">
        <f aca="false">SUMIFS(Rashodi_detalji!$L$10:$L$85,Rashodi_detalji!$B$10:$B$85,"T2203-02")</f>
        <v>15270.01</v>
      </c>
      <c r="E46" s="15" t="n">
        <f aca="false">SUMIFS(Rashodi_detalji!$M$10:$M$85,Rashodi_detalji!$B$10:$B$85,"T2203-02")</f>
        <v>15499.06</v>
      </c>
      <c r="F46" s="15" t="n">
        <f aca="false">SUMIFS(Rashodi_detalji!$N$10:$N$85,Rashodi_detalji!$B$10:$B$85,"T2203-02")</f>
        <v>15731.55</v>
      </c>
    </row>
    <row r="47" customFormat="false" ht="15" hidden="false" customHeight="false" outlineLevel="0" collapsed="false">
      <c r="A47" s="24" t="s">
        <v>318</v>
      </c>
      <c r="B47" s="24" t="s">
        <v>319</v>
      </c>
      <c r="C47" s="25" t="s">
        <v>203</v>
      </c>
      <c r="D47" s="26" t="n">
        <f aca="false">SUMIFS(Rashodi_detalji!$L$10:$L$85,Rashodi_detalji!$B$10:$B$85,"T2203-02",Rashodi_detalji!$E$10:$E$85,"110")</f>
        <v>15270.01</v>
      </c>
      <c r="E47" s="26" t="n">
        <f aca="false">SUMIFS(Rashodi_detalji!$M$10:$M$85,Rashodi_detalji!$B$10:$B$85,"T2203-02",Rashodi_detalji!$E$10:$E$85,"110")</f>
        <v>15499.06</v>
      </c>
      <c r="F47" s="26" t="n">
        <f aca="false">SUMIFS(Rashodi_detalji!$N$10:$N$85,Rashodi_detalji!$B$10:$B$85,"T2203-02",Rashodi_detalji!$E$10:$E$85,"110")</f>
        <v>15731.55</v>
      </c>
    </row>
    <row r="48" customFormat="false" ht="15" hidden="false" customHeight="false" outlineLevel="0" collapsed="false">
      <c r="A48" s="6" t="s">
        <v>320</v>
      </c>
      <c r="B48" s="6" t="s">
        <v>190</v>
      </c>
      <c r="C48" s="7" t="s">
        <v>203</v>
      </c>
      <c r="D48" s="8" t="n">
        <f aca="false">SUMIFS(Rashodi_detalji!$L$10:$L$85,Rashodi_detalji!$B$10:$B$85,"T2203-02",Rashodi_detalji!$E$10:$E$85,"110",Rashodi_detalji!$F$10:$F$85,"42641")</f>
        <v>15270.01</v>
      </c>
      <c r="E48" s="8" t="n">
        <f aca="false">SUMIFS(Rashodi_detalji!$M$10:$M$85,Rashodi_detalji!$B$10:$B$85,"T2203-02",Rashodi_detalji!$E$10:$E$85,"110",Rashodi_detalji!$F$10:$F$85,"42641")</f>
        <v>15499.06</v>
      </c>
      <c r="F48" s="8" t="n">
        <f aca="false">SUMIFS(Rashodi_detalji!$N$10:$N$85,Rashodi_detalji!$B$10:$B$85,"T2203-02",Rashodi_detalji!$E$10:$E$85,"110",Rashodi_detalji!$F$10:$F$85,"42641")</f>
        <v>15731.55</v>
      </c>
    </row>
    <row r="49" customFormat="false" ht="15" hidden="false" customHeight="false" outlineLevel="0" collapsed="false">
      <c r="A49" s="13" t="s">
        <v>321</v>
      </c>
      <c r="B49" s="13" t="s">
        <v>322</v>
      </c>
      <c r="C49" s="14"/>
      <c r="D49" s="15" t="n">
        <f aca="false">SUMIFS(Rashodi_detalji!$L$10:$L$85,Rashodi_detalji!$B$10:$B$85,"A2203-04")</f>
        <v>149967.33</v>
      </c>
      <c r="E49" s="15" t="n">
        <f aca="false">SUMIFS(Rashodi_detalji!$M$10:$M$85,Rashodi_detalji!$B$10:$B$85,"A2203-04")</f>
        <v>152216.84</v>
      </c>
      <c r="F49" s="15" t="n">
        <f aca="false">SUMIFS(Rashodi_detalji!$N$10:$N$85,Rashodi_detalji!$B$10:$B$85,"A2203-04")</f>
        <v>154500.1</v>
      </c>
    </row>
    <row r="50" customFormat="false" ht="15" hidden="false" customHeight="false" outlineLevel="0" collapsed="false">
      <c r="A50" s="24" t="s">
        <v>323</v>
      </c>
      <c r="B50" s="24" t="s">
        <v>324</v>
      </c>
      <c r="C50" s="25" t="s">
        <v>88</v>
      </c>
      <c r="D50" s="26" t="n">
        <f aca="false">SUMIFS(Rashodi_detalji!$L$10:$L$85,Rashodi_detalji!$B$10:$B$85,"A2203-04",Rashodi_detalji!$E$10:$E$85,"31")</f>
        <v>28800</v>
      </c>
      <c r="E50" s="26" t="n">
        <f aca="false">SUMIFS(Rashodi_detalji!$M$10:$M$85,Rashodi_detalji!$B$10:$B$85,"A2203-04",Rashodi_detalji!$E$10:$E$85,"31")</f>
        <v>29232</v>
      </c>
      <c r="F50" s="26" t="n">
        <f aca="false">SUMIFS(Rashodi_detalji!$N$10:$N$85,Rashodi_detalji!$B$10:$B$85,"A2203-04",Rashodi_detalji!$E$10:$E$85,"31")</f>
        <v>29670.48</v>
      </c>
    </row>
    <row r="51" customFormat="false" ht="15" hidden="false" customHeight="false" outlineLevel="0" collapsed="false">
      <c r="A51" s="6" t="s">
        <v>310</v>
      </c>
      <c r="B51" s="6" t="s">
        <v>311</v>
      </c>
      <c r="C51" s="7" t="s">
        <v>88</v>
      </c>
      <c r="D51" s="8" t="n">
        <f aca="false">SUMIFS(Rashodi_detalji!$L$10:$L$85,Rashodi_detalji!$B$10:$B$85,"A2203-04",Rashodi_detalji!$E$10:$E$85,"31",Rashodi_detalji!$F$10:$F$85,"32121")</f>
        <v>1500</v>
      </c>
      <c r="E51" s="8" t="n">
        <f aca="false">SUMIFS(Rashodi_detalji!$M$10:$M$85,Rashodi_detalji!$B$10:$B$85,"A2203-04",Rashodi_detalji!$E$10:$E$85,"31",Rashodi_detalji!$F$10:$F$85,"32121")</f>
        <v>1522.5</v>
      </c>
      <c r="F51" s="8" t="n">
        <f aca="false">SUMIFS(Rashodi_detalji!$N$10:$N$85,Rashodi_detalji!$B$10:$B$85,"A2203-04",Rashodi_detalji!$E$10:$E$85,"31",Rashodi_detalji!$F$10:$F$85,"32121")</f>
        <v>1545.34</v>
      </c>
    </row>
    <row r="52" customFormat="false" ht="15" hidden="false" customHeight="false" outlineLevel="0" collapsed="false">
      <c r="A52" s="6" t="s">
        <v>259</v>
      </c>
      <c r="B52" s="6" t="s">
        <v>260</v>
      </c>
      <c r="C52" s="7" t="s">
        <v>88</v>
      </c>
      <c r="D52" s="8" t="n">
        <f aca="false">SUMIFS(Rashodi_detalji!$L$10:$L$85,Rashodi_detalji!$B$10:$B$85,"A2203-04",Rashodi_detalji!$E$10:$E$85,"31",Rashodi_detalji!$F$10:$F$85,"32131")</f>
        <v>4000</v>
      </c>
      <c r="E52" s="8" t="n">
        <f aca="false">SUMIFS(Rashodi_detalji!$M$10:$M$85,Rashodi_detalji!$B$10:$B$85,"A2203-04",Rashodi_detalji!$E$10:$E$85,"31",Rashodi_detalji!$F$10:$F$85,"32131")</f>
        <v>4060</v>
      </c>
      <c r="F52" s="8" t="n">
        <f aca="false">SUMIFS(Rashodi_detalji!$N$10:$N$85,Rashodi_detalji!$B$10:$B$85,"A2203-04",Rashodi_detalji!$E$10:$E$85,"31",Rashodi_detalji!$F$10:$F$85,"32131")</f>
        <v>4120.9</v>
      </c>
    </row>
    <row r="53" customFormat="false" ht="15" hidden="false" customHeight="false" outlineLevel="0" collapsed="false">
      <c r="A53" s="6" t="s">
        <v>272</v>
      </c>
      <c r="B53" s="6" t="s">
        <v>273</v>
      </c>
      <c r="C53" s="7" t="s">
        <v>88</v>
      </c>
      <c r="D53" s="8" t="n">
        <f aca="false">SUMIFS(Rashodi_detalji!$L$10:$L$85,Rashodi_detalji!$B$10:$B$85,"A2203-04",Rashodi_detalji!$E$10:$E$85,"31",Rashodi_detalji!$F$10:$F$85,"32241")</f>
        <v>3000</v>
      </c>
      <c r="E53" s="8" t="n">
        <f aca="false">SUMIFS(Rashodi_detalji!$M$10:$M$85,Rashodi_detalji!$B$10:$B$85,"A2203-04",Rashodi_detalji!$E$10:$E$85,"31",Rashodi_detalji!$F$10:$F$85,"32241")</f>
        <v>3045</v>
      </c>
      <c r="F53" s="8" t="n">
        <f aca="false">SUMIFS(Rashodi_detalji!$N$10:$N$85,Rashodi_detalji!$B$10:$B$85,"A2203-04",Rashodi_detalji!$E$10:$E$85,"31",Rashodi_detalji!$F$10:$F$85,"32241")</f>
        <v>3090.68</v>
      </c>
    </row>
    <row r="54" customFormat="false" ht="15" hidden="false" customHeight="false" outlineLevel="0" collapsed="false">
      <c r="A54" s="6" t="s">
        <v>279</v>
      </c>
      <c r="B54" s="6" t="s">
        <v>280</v>
      </c>
      <c r="C54" s="7" t="s">
        <v>88</v>
      </c>
      <c r="D54" s="8" t="n">
        <f aca="false">SUMIFS(Rashodi_detalji!$L$10:$L$85,Rashodi_detalji!$B$10:$B$85,"A2203-04",Rashodi_detalji!$E$10:$E$85,"31",Rashodi_detalji!$F$10:$F$85,"32321")</f>
        <v>5000</v>
      </c>
      <c r="E54" s="8" t="n">
        <f aca="false">SUMIFS(Rashodi_detalji!$M$10:$M$85,Rashodi_detalji!$B$10:$B$85,"A2203-04",Rashodi_detalji!$E$10:$E$85,"31",Rashodi_detalji!$F$10:$F$85,"32321")</f>
        <v>5075</v>
      </c>
      <c r="F54" s="8" t="n">
        <f aca="false">SUMIFS(Rashodi_detalji!$N$10:$N$85,Rashodi_detalji!$B$10:$B$85,"A2203-04",Rashodi_detalji!$E$10:$E$85,"31",Rashodi_detalji!$F$10:$F$85,"32321")</f>
        <v>5151.12</v>
      </c>
    </row>
    <row r="55" customFormat="false" ht="15" hidden="false" customHeight="false" outlineLevel="0" collapsed="false">
      <c r="A55" s="6" t="s">
        <v>281</v>
      </c>
      <c r="B55" s="6" t="s">
        <v>282</v>
      </c>
      <c r="C55" s="7" t="s">
        <v>88</v>
      </c>
      <c r="D55" s="8" t="n">
        <f aca="false">SUMIFS(Rashodi_detalji!$L$10:$L$85,Rashodi_detalji!$B$10:$B$85,"A2203-04",Rashodi_detalji!$E$10:$E$85,"31",Rashodi_detalji!$F$10:$F$85,"32341")</f>
        <v>2000</v>
      </c>
      <c r="E55" s="8" t="n">
        <f aca="false">SUMIFS(Rashodi_detalji!$M$10:$M$85,Rashodi_detalji!$B$10:$B$85,"A2203-04",Rashodi_detalji!$E$10:$E$85,"31",Rashodi_detalji!$F$10:$F$85,"32341")</f>
        <v>2030</v>
      </c>
      <c r="F55" s="8" t="n">
        <f aca="false">SUMIFS(Rashodi_detalji!$N$10:$N$85,Rashodi_detalji!$B$10:$B$85,"A2203-04",Rashodi_detalji!$E$10:$E$85,"31",Rashodi_detalji!$F$10:$F$85,"32341")</f>
        <v>2060.45</v>
      </c>
    </row>
    <row r="56" customFormat="false" ht="15" hidden="false" customHeight="false" outlineLevel="0" collapsed="false">
      <c r="A56" s="6" t="s">
        <v>287</v>
      </c>
      <c r="B56" s="6" t="s">
        <v>288</v>
      </c>
      <c r="C56" s="7" t="s">
        <v>88</v>
      </c>
      <c r="D56" s="8" t="n">
        <f aca="false">SUMIFS(Rashodi_detalji!$L$10:$L$85,Rashodi_detalji!$B$10:$B$85,"A2203-04",Rashodi_detalji!$E$10:$E$85,"31",Rashodi_detalji!$F$10:$F$85,"32359")</f>
        <v>4000</v>
      </c>
      <c r="E56" s="8" t="n">
        <f aca="false">SUMIFS(Rashodi_detalji!$M$10:$M$85,Rashodi_detalji!$B$10:$B$85,"A2203-04",Rashodi_detalji!$E$10:$E$85,"31",Rashodi_detalji!$F$10:$F$85,"32359")</f>
        <v>4060</v>
      </c>
      <c r="F56" s="8" t="n">
        <f aca="false">SUMIFS(Rashodi_detalji!$N$10:$N$85,Rashodi_detalji!$B$10:$B$85,"A2203-04",Rashodi_detalji!$E$10:$E$85,"31",Rashodi_detalji!$F$10:$F$85,"32359")</f>
        <v>4120.9</v>
      </c>
    </row>
    <row r="57" customFormat="false" ht="15" hidden="false" customHeight="false" outlineLevel="0" collapsed="false">
      <c r="A57" s="6" t="s">
        <v>291</v>
      </c>
      <c r="B57" s="6" t="s">
        <v>292</v>
      </c>
      <c r="C57" s="7" t="s">
        <v>88</v>
      </c>
      <c r="D57" s="8" t="n">
        <f aca="false">SUMIFS(Rashodi_detalji!$L$10:$L$85,Rashodi_detalji!$B$10:$B$85,"A2203-04",Rashodi_detalji!$E$10:$E$85,"31",Rashodi_detalji!$F$10:$F$85,"32379")</f>
        <v>1500</v>
      </c>
      <c r="E57" s="8" t="n">
        <f aca="false">SUMIFS(Rashodi_detalji!$M$10:$M$85,Rashodi_detalji!$B$10:$B$85,"A2203-04",Rashodi_detalji!$E$10:$E$85,"31",Rashodi_detalji!$F$10:$F$85,"32379")</f>
        <v>1522.5</v>
      </c>
      <c r="F57" s="8" t="n">
        <f aca="false">SUMIFS(Rashodi_detalji!$N$10:$N$85,Rashodi_detalji!$B$10:$B$85,"A2203-04",Rashodi_detalji!$E$10:$E$85,"31",Rashodi_detalji!$F$10:$F$85,"32379")</f>
        <v>1545.34</v>
      </c>
    </row>
    <row r="58" customFormat="false" ht="15" hidden="false" customHeight="false" outlineLevel="0" collapsed="false">
      <c r="A58" s="6" t="s">
        <v>325</v>
      </c>
      <c r="B58" s="6" t="s">
        <v>326</v>
      </c>
      <c r="C58" s="7" t="s">
        <v>88</v>
      </c>
      <c r="D58" s="8" t="n">
        <f aca="false">SUMIFS(Rashodi_detalji!$L$10:$L$85,Rashodi_detalji!$B$10:$B$85,"A2203-04",Rashodi_detalji!$E$10:$E$85,"31",Rashodi_detalji!$F$10:$F$85,"32382")</f>
        <v>500</v>
      </c>
      <c r="E58" s="8" t="n">
        <f aca="false">SUMIFS(Rashodi_detalji!$M$10:$M$85,Rashodi_detalji!$B$10:$B$85,"A2203-04",Rashodi_detalji!$E$10:$E$85,"31",Rashodi_detalji!$F$10:$F$85,"32382")</f>
        <v>507.5</v>
      </c>
      <c r="F58" s="8" t="n">
        <f aca="false">SUMIFS(Rashodi_detalji!$N$10:$N$85,Rashodi_detalji!$B$10:$B$85,"A2203-04",Rashodi_detalji!$E$10:$E$85,"31",Rashodi_detalji!$F$10:$F$85,"32382")</f>
        <v>515.11</v>
      </c>
    </row>
    <row r="59" customFormat="false" ht="15" hidden="false" customHeight="false" outlineLevel="0" collapsed="false">
      <c r="A59" s="6" t="s">
        <v>327</v>
      </c>
      <c r="B59" s="6" t="s">
        <v>328</v>
      </c>
      <c r="C59" s="7" t="s">
        <v>88</v>
      </c>
      <c r="D59" s="8" t="n">
        <f aca="false">SUMIFS(Rashodi_detalji!$L$10:$L$85,Rashodi_detalji!$B$10:$B$85,"A2203-04",Rashodi_detalji!$E$10:$E$85,"31",Rashodi_detalji!$F$10:$F$85,"32394")</f>
        <v>500</v>
      </c>
      <c r="E59" s="8" t="n">
        <f aca="false">SUMIFS(Rashodi_detalji!$M$10:$M$85,Rashodi_detalji!$B$10:$B$85,"A2203-04",Rashodi_detalji!$E$10:$E$85,"31",Rashodi_detalji!$F$10:$F$85,"32394")</f>
        <v>507.5</v>
      </c>
      <c r="F59" s="8" t="n">
        <f aca="false">SUMIFS(Rashodi_detalji!$N$10:$N$85,Rashodi_detalji!$B$10:$B$85,"A2203-04",Rashodi_detalji!$E$10:$E$85,"31",Rashodi_detalji!$F$10:$F$85,"32394")</f>
        <v>515.11</v>
      </c>
    </row>
    <row r="60" customFormat="false" ht="15" hidden="false" customHeight="false" outlineLevel="0" collapsed="false">
      <c r="A60" s="6" t="s">
        <v>329</v>
      </c>
      <c r="B60" s="6" t="s">
        <v>330</v>
      </c>
      <c r="C60" s="7" t="s">
        <v>88</v>
      </c>
      <c r="D60" s="8" t="n">
        <f aca="false">SUMIFS(Rashodi_detalji!$L$10:$L$85,Rashodi_detalji!$B$10:$B$85,"A2203-04",Rashodi_detalji!$E$10:$E$85,"31",Rashodi_detalji!$F$10:$F$85,"34333")</f>
        <v>800</v>
      </c>
      <c r="E60" s="8" t="n">
        <f aca="false">SUMIFS(Rashodi_detalji!$M$10:$M$85,Rashodi_detalji!$B$10:$B$85,"A2203-04",Rashodi_detalji!$E$10:$E$85,"31",Rashodi_detalji!$F$10:$F$85,"34333")</f>
        <v>812</v>
      </c>
      <c r="F60" s="8" t="n">
        <f aca="false">SUMIFS(Rashodi_detalji!$N$10:$N$85,Rashodi_detalji!$B$10:$B$85,"A2203-04",Rashodi_detalji!$E$10:$E$85,"31",Rashodi_detalji!$F$10:$F$85,"34333")</f>
        <v>824.18</v>
      </c>
    </row>
    <row r="61" customFormat="false" ht="15" hidden="false" customHeight="false" outlineLevel="0" collapsed="false">
      <c r="A61" s="6" t="s">
        <v>331</v>
      </c>
      <c r="B61" s="6" t="s">
        <v>332</v>
      </c>
      <c r="C61" s="7" t="s">
        <v>88</v>
      </c>
      <c r="D61" s="8" t="n">
        <f aca="false">SUMIFS(Rashodi_detalji!$L$10:$L$85,Rashodi_detalji!$B$10:$B$85,"A2203-04",Rashodi_detalji!$E$10:$E$85,"31",Rashodi_detalji!$F$10:$F$85,"42219")</f>
        <v>4000</v>
      </c>
      <c r="E61" s="8" t="n">
        <f aca="false">SUMIFS(Rashodi_detalji!$M$10:$M$85,Rashodi_detalji!$B$10:$B$85,"A2203-04",Rashodi_detalji!$E$10:$E$85,"31",Rashodi_detalji!$F$10:$F$85,"42219")</f>
        <v>4060</v>
      </c>
      <c r="F61" s="8" t="n">
        <f aca="false">SUMIFS(Rashodi_detalji!$N$10:$N$85,Rashodi_detalji!$B$10:$B$85,"A2203-04",Rashodi_detalji!$E$10:$E$85,"31",Rashodi_detalji!$F$10:$F$85,"42219")</f>
        <v>4120.9</v>
      </c>
    </row>
    <row r="62" customFormat="false" ht="15" hidden="false" customHeight="false" outlineLevel="0" collapsed="false">
      <c r="A62" s="6" t="s">
        <v>333</v>
      </c>
      <c r="B62" s="6" t="s">
        <v>334</v>
      </c>
      <c r="C62" s="7" t="s">
        <v>88</v>
      </c>
      <c r="D62" s="8" t="n">
        <f aca="false">SUMIFS(Rashodi_detalji!$L$10:$L$85,Rashodi_detalji!$B$10:$B$85,"A2203-04",Rashodi_detalji!$E$10:$E$85,"31",Rashodi_detalji!$F$10:$F$85,"42271")</f>
        <v>2000</v>
      </c>
      <c r="E62" s="8" t="n">
        <f aca="false">SUMIFS(Rashodi_detalji!$M$10:$M$85,Rashodi_detalji!$B$10:$B$85,"A2203-04",Rashodi_detalji!$E$10:$E$85,"31",Rashodi_detalji!$F$10:$F$85,"42271")</f>
        <v>2030</v>
      </c>
      <c r="F62" s="8" t="n">
        <f aca="false">SUMIFS(Rashodi_detalji!$N$10:$N$85,Rashodi_detalji!$B$10:$B$85,"A2203-04",Rashodi_detalji!$E$10:$E$85,"31",Rashodi_detalji!$F$10:$F$85,"42271")</f>
        <v>2060.45</v>
      </c>
    </row>
    <row r="63" customFormat="false" ht="15" hidden="false" customHeight="false" outlineLevel="0" collapsed="false">
      <c r="A63" s="24" t="s">
        <v>335</v>
      </c>
      <c r="B63" s="24" t="s">
        <v>208</v>
      </c>
      <c r="C63" s="25" t="s">
        <v>207</v>
      </c>
      <c r="D63" s="26" t="n">
        <f aca="false">SUMIFS(Rashodi_detalji!$L$10:$L$85,Rashodi_detalji!$B$10:$B$85,"A2203-04",Rashodi_detalji!$E$10:$E$85,"41")</f>
        <v>23300</v>
      </c>
      <c r="E63" s="26" t="n">
        <f aca="false">SUMIFS(Rashodi_detalji!$M$10:$M$85,Rashodi_detalji!$B$10:$B$85,"A2203-04",Rashodi_detalji!$E$10:$E$85,"41")</f>
        <v>23649.5</v>
      </c>
      <c r="F63" s="26" t="n">
        <f aca="false">SUMIFS(Rashodi_detalji!$N$10:$N$85,Rashodi_detalji!$B$10:$B$85,"A2203-04",Rashodi_detalji!$E$10:$E$85,"41")</f>
        <v>24004.24</v>
      </c>
    </row>
    <row r="64" customFormat="false" ht="15" hidden="false" customHeight="false" outlineLevel="0" collapsed="false">
      <c r="A64" s="6" t="s">
        <v>336</v>
      </c>
      <c r="B64" s="6" t="s">
        <v>337</v>
      </c>
      <c r="C64" s="7" t="s">
        <v>207</v>
      </c>
      <c r="D64" s="8" t="n">
        <f aca="false">SUMIFS(Rashodi_detalji!$L$10:$L$85,Rashodi_detalji!$B$10:$B$85,"A2203-04",Rashodi_detalji!$E$10:$E$85,"41",Rashodi_detalji!$F$10:$F$85,"31213")</f>
        <v>800</v>
      </c>
      <c r="E64" s="8" t="n">
        <f aca="false">SUMIFS(Rashodi_detalji!$M$10:$M$85,Rashodi_detalji!$B$10:$B$85,"A2203-04",Rashodi_detalji!$E$10:$E$85,"41",Rashodi_detalji!$F$10:$F$85,"31213")</f>
        <v>812</v>
      </c>
      <c r="F64" s="8" t="n">
        <f aca="false">SUMIFS(Rashodi_detalji!$N$10:$N$85,Rashodi_detalji!$B$10:$B$85,"A2203-04",Rashodi_detalji!$E$10:$E$85,"41",Rashodi_detalji!$F$10:$F$85,"31213")</f>
        <v>824.18</v>
      </c>
    </row>
    <row r="65" customFormat="false" ht="15" hidden="false" customHeight="false" outlineLevel="0" collapsed="false">
      <c r="A65" s="6" t="s">
        <v>338</v>
      </c>
      <c r="B65" s="6" t="s">
        <v>339</v>
      </c>
      <c r="C65" s="7" t="s">
        <v>207</v>
      </c>
      <c r="D65" s="8" t="n">
        <f aca="false">SUMIFS(Rashodi_detalji!$L$10:$L$85,Rashodi_detalji!$B$10:$B$85,"A2203-04",Rashodi_detalji!$E$10:$E$85,"41",Rashodi_detalji!$F$10:$F$85,"31216")</f>
        <v>500</v>
      </c>
      <c r="E65" s="8" t="n">
        <f aca="false">SUMIFS(Rashodi_detalji!$M$10:$M$85,Rashodi_detalji!$B$10:$B$85,"A2203-04",Rashodi_detalji!$E$10:$E$85,"41",Rashodi_detalji!$F$10:$F$85,"31216")</f>
        <v>507.5</v>
      </c>
      <c r="F65" s="8" t="n">
        <f aca="false">SUMIFS(Rashodi_detalji!$N$10:$N$85,Rashodi_detalji!$B$10:$B$85,"A2203-04",Rashodi_detalji!$E$10:$E$85,"41",Rashodi_detalji!$F$10:$F$85,"31216")</f>
        <v>515.11</v>
      </c>
    </row>
    <row r="66" customFormat="false" ht="15" hidden="false" customHeight="false" outlineLevel="0" collapsed="false">
      <c r="A66" s="6" t="s">
        <v>340</v>
      </c>
      <c r="B66" s="6" t="s">
        <v>341</v>
      </c>
      <c r="C66" s="7" t="s">
        <v>207</v>
      </c>
      <c r="D66" s="8" t="n">
        <f aca="false">SUMIFS(Rashodi_detalji!$L$10:$L$85,Rashodi_detalji!$B$10:$B$85,"A2203-04",Rashodi_detalji!$E$10:$E$85,"41",Rashodi_detalji!$F$10:$F$85,"31219")</f>
        <v>1000</v>
      </c>
      <c r="E66" s="8" t="n">
        <f aca="false">SUMIFS(Rashodi_detalji!$M$10:$M$85,Rashodi_detalji!$B$10:$B$85,"A2203-04",Rashodi_detalji!$E$10:$E$85,"41",Rashodi_detalji!$F$10:$F$85,"31219")</f>
        <v>1015</v>
      </c>
      <c r="F66" s="8" t="n">
        <f aca="false">SUMIFS(Rashodi_detalji!$N$10:$N$85,Rashodi_detalji!$B$10:$B$85,"A2203-04",Rashodi_detalji!$E$10:$E$85,"41",Rashodi_detalji!$F$10:$F$85,"31219")</f>
        <v>1030.23</v>
      </c>
    </row>
    <row r="67" customFormat="false" ht="15" hidden="false" customHeight="false" outlineLevel="0" collapsed="false">
      <c r="A67" s="6" t="s">
        <v>264</v>
      </c>
      <c r="B67" s="6" t="s">
        <v>265</v>
      </c>
      <c r="C67" s="7" t="s">
        <v>207</v>
      </c>
      <c r="D67" s="8" t="n">
        <f aca="false">SUMIFS(Rashodi_detalji!$L$10:$L$85,Rashodi_detalji!$B$10:$B$85,"A2203-04",Rashodi_detalji!$E$10:$E$85,"41",Rashodi_detalji!$F$10:$F$85,"32221")</f>
        <v>2000</v>
      </c>
      <c r="E67" s="8" t="n">
        <f aca="false">SUMIFS(Rashodi_detalji!$M$10:$M$85,Rashodi_detalji!$B$10:$B$85,"A2203-04",Rashodi_detalji!$E$10:$E$85,"41",Rashodi_detalji!$F$10:$F$85,"32221")</f>
        <v>2030</v>
      </c>
      <c r="F67" s="8" t="n">
        <f aca="false">SUMIFS(Rashodi_detalji!$N$10:$N$85,Rashodi_detalji!$B$10:$B$85,"A2203-04",Rashodi_detalji!$E$10:$E$85,"41",Rashodi_detalji!$F$10:$F$85,"32221")</f>
        <v>2060.45</v>
      </c>
    </row>
    <row r="68" customFormat="false" ht="15" hidden="false" customHeight="false" outlineLevel="0" collapsed="false">
      <c r="A68" s="6" t="s">
        <v>342</v>
      </c>
      <c r="B68" s="6" t="s">
        <v>343</v>
      </c>
      <c r="C68" s="7" t="s">
        <v>207</v>
      </c>
      <c r="D68" s="8" t="n">
        <f aca="false">SUMIFS(Rashodi_detalji!$L$10:$L$85,Rashodi_detalji!$B$10:$B$85,"A2203-04",Rashodi_detalji!$E$10:$E$85,"41",Rashodi_detalji!$F$10:$F$85,"32224")</f>
        <v>15000</v>
      </c>
      <c r="E68" s="8" t="n">
        <f aca="false">SUMIFS(Rashodi_detalji!$M$10:$M$85,Rashodi_detalji!$B$10:$B$85,"A2203-04",Rashodi_detalji!$E$10:$E$85,"41",Rashodi_detalji!$F$10:$F$85,"32224")</f>
        <v>15225</v>
      </c>
      <c r="F68" s="8" t="n">
        <f aca="false">SUMIFS(Rashodi_detalji!$N$10:$N$85,Rashodi_detalji!$B$10:$B$85,"A2203-04",Rashodi_detalji!$E$10:$E$85,"41",Rashodi_detalji!$F$10:$F$85,"32224")</f>
        <v>15453.37</v>
      </c>
    </row>
    <row r="69" customFormat="false" ht="15" hidden="false" customHeight="false" outlineLevel="0" collapsed="false">
      <c r="A69" s="6" t="s">
        <v>287</v>
      </c>
      <c r="B69" s="6" t="s">
        <v>288</v>
      </c>
      <c r="C69" s="7" t="s">
        <v>207</v>
      </c>
      <c r="D69" s="8" t="n">
        <f aca="false">SUMIFS(Rashodi_detalji!$L$10:$L$85,Rashodi_detalji!$B$10:$B$85,"A2203-04",Rashodi_detalji!$E$10:$E$85,"41",Rashodi_detalji!$F$10:$F$85,"32359")</f>
        <v>4000</v>
      </c>
      <c r="E69" s="8" t="n">
        <f aca="false">SUMIFS(Rashodi_detalji!$M$10:$M$85,Rashodi_detalji!$B$10:$B$85,"A2203-04",Rashodi_detalji!$E$10:$E$85,"41",Rashodi_detalji!$F$10:$F$85,"32359")</f>
        <v>4060</v>
      </c>
      <c r="F69" s="8" t="n">
        <f aca="false">SUMIFS(Rashodi_detalji!$N$10:$N$85,Rashodi_detalji!$B$10:$B$85,"A2203-04",Rashodi_detalji!$E$10:$E$85,"41",Rashodi_detalji!$F$10:$F$85,"32359")</f>
        <v>4120.9</v>
      </c>
    </row>
    <row r="70" customFormat="false" ht="15" hidden="false" customHeight="false" outlineLevel="0" collapsed="false">
      <c r="A70" s="24" t="s">
        <v>344</v>
      </c>
      <c r="B70" s="24" t="s">
        <v>345</v>
      </c>
      <c r="C70" s="25" t="s">
        <v>211</v>
      </c>
      <c r="D70" s="26" t="n">
        <f aca="false">SUMIFS(Rashodi_detalji!$L$10:$L$85,Rashodi_detalji!$B$10:$B$85,"A2203-04",Rashodi_detalji!$E$10:$E$85,"42034")</f>
        <v>24867.33</v>
      </c>
      <c r="E70" s="26" t="n">
        <f aca="false">SUMIFS(Rashodi_detalji!$M$10:$M$85,Rashodi_detalji!$B$10:$B$85,"A2203-04",Rashodi_detalji!$E$10:$E$85,"42034")</f>
        <v>25240.34</v>
      </c>
      <c r="F70" s="26" t="n">
        <f aca="false">SUMIFS(Rashodi_detalji!$N$10:$N$85,Rashodi_detalji!$B$10:$B$85,"A2203-04",Rashodi_detalji!$E$10:$E$85,"42034")</f>
        <v>25618.96</v>
      </c>
    </row>
    <row r="71" customFormat="false" ht="15" hidden="false" customHeight="false" outlineLevel="0" collapsed="false">
      <c r="A71" s="6" t="s">
        <v>264</v>
      </c>
      <c r="B71" s="6" t="s">
        <v>265</v>
      </c>
      <c r="C71" s="7" t="s">
        <v>211</v>
      </c>
      <c r="D71" s="8" t="n">
        <f aca="false">SUMIFS(Rashodi_detalji!$L$10:$L$85,Rashodi_detalji!$B$10:$B$85,"A2203-04",Rashodi_detalji!$E$10:$E$85,"42034",Rashodi_detalji!$F$10:$F$85,"32221")</f>
        <v>500</v>
      </c>
      <c r="E71" s="8" t="n">
        <f aca="false">SUMIFS(Rashodi_detalji!$M$10:$M$85,Rashodi_detalji!$B$10:$B$85,"A2203-04",Rashodi_detalji!$E$10:$E$85,"42034",Rashodi_detalji!$F$10:$F$85,"32221")</f>
        <v>507.5</v>
      </c>
      <c r="F71" s="8" t="n">
        <f aca="false">SUMIFS(Rashodi_detalji!$N$10:$N$85,Rashodi_detalji!$B$10:$B$85,"A2203-04",Rashodi_detalji!$E$10:$E$85,"42034",Rashodi_detalji!$F$10:$F$85,"32221")</f>
        <v>515.11</v>
      </c>
    </row>
    <row r="72" customFormat="false" ht="15" hidden="false" customHeight="false" outlineLevel="0" collapsed="false">
      <c r="A72" s="6" t="s">
        <v>272</v>
      </c>
      <c r="B72" s="6" t="s">
        <v>273</v>
      </c>
      <c r="C72" s="7" t="s">
        <v>211</v>
      </c>
      <c r="D72" s="8" t="n">
        <f aca="false">SUMIFS(Rashodi_detalji!$L$10:$L$85,Rashodi_detalji!$B$10:$B$85,"A2203-04",Rashodi_detalji!$E$10:$E$85,"42034",Rashodi_detalji!$F$10:$F$85,"32241")</f>
        <v>1000</v>
      </c>
      <c r="E72" s="8" t="n">
        <f aca="false">SUMIFS(Rashodi_detalji!$M$10:$M$85,Rashodi_detalji!$B$10:$B$85,"A2203-04",Rashodi_detalji!$E$10:$E$85,"42034",Rashodi_detalji!$F$10:$F$85,"32241")</f>
        <v>1015</v>
      </c>
      <c r="F72" s="8" t="n">
        <f aca="false">SUMIFS(Rashodi_detalji!$N$10:$N$85,Rashodi_detalji!$B$10:$B$85,"A2203-04",Rashodi_detalji!$E$10:$E$85,"42034",Rashodi_detalji!$F$10:$F$85,"32241")</f>
        <v>1030.23</v>
      </c>
    </row>
    <row r="73" customFormat="false" ht="15" hidden="false" customHeight="false" outlineLevel="0" collapsed="false">
      <c r="A73" s="6" t="s">
        <v>279</v>
      </c>
      <c r="B73" s="6" t="s">
        <v>280</v>
      </c>
      <c r="C73" s="7" t="s">
        <v>211</v>
      </c>
      <c r="D73" s="8" t="n">
        <f aca="false">SUMIFS(Rashodi_detalji!$L$10:$L$85,Rashodi_detalji!$B$10:$B$85,"A2203-04",Rashodi_detalji!$E$10:$E$85,"42034",Rashodi_detalji!$F$10:$F$85,"32321")</f>
        <v>3000</v>
      </c>
      <c r="E73" s="8" t="n">
        <f aca="false">SUMIFS(Rashodi_detalji!$M$10:$M$85,Rashodi_detalji!$B$10:$B$85,"A2203-04",Rashodi_detalji!$E$10:$E$85,"42034",Rashodi_detalji!$F$10:$F$85,"32321")</f>
        <v>3045</v>
      </c>
      <c r="F73" s="8" t="n">
        <f aca="false">SUMIFS(Rashodi_detalji!$N$10:$N$85,Rashodi_detalji!$B$10:$B$85,"A2203-04",Rashodi_detalji!$E$10:$E$85,"42034",Rashodi_detalji!$F$10:$F$85,"32321")</f>
        <v>3090.68</v>
      </c>
    </row>
    <row r="74" customFormat="false" ht="15" hidden="false" customHeight="false" outlineLevel="0" collapsed="false">
      <c r="A74" s="6" t="s">
        <v>325</v>
      </c>
      <c r="B74" s="6" t="s">
        <v>326</v>
      </c>
      <c r="C74" s="7" t="s">
        <v>211</v>
      </c>
      <c r="D74" s="8" t="n">
        <f aca="false">SUMIFS(Rashodi_detalji!$L$10:$L$85,Rashodi_detalji!$B$10:$B$85,"A2203-04",Rashodi_detalji!$E$10:$E$85,"42034",Rashodi_detalji!$F$10:$F$85,"32382")</f>
        <v>500</v>
      </c>
      <c r="E74" s="8" t="n">
        <f aca="false">SUMIFS(Rashodi_detalji!$M$10:$M$85,Rashodi_detalji!$B$10:$B$85,"A2203-04",Rashodi_detalji!$E$10:$E$85,"42034",Rashodi_detalji!$F$10:$F$85,"32382")</f>
        <v>507.5</v>
      </c>
      <c r="F74" s="8" t="n">
        <f aca="false">SUMIFS(Rashodi_detalji!$N$10:$N$85,Rashodi_detalji!$B$10:$B$85,"A2203-04",Rashodi_detalji!$E$10:$E$85,"42034",Rashodi_detalji!$F$10:$F$85,"32382")</f>
        <v>515.11</v>
      </c>
    </row>
    <row r="75" customFormat="false" ht="15" hidden="false" customHeight="false" outlineLevel="0" collapsed="false">
      <c r="A75" s="6" t="s">
        <v>346</v>
      </c>
      <c r="B75" s="6" t="s">
        <v>150</v>
      </c>
      <c r="C75" s="7" t="s">
        <v>211</v>
      </c>
      <c r="D75" s="8" t="n">
        <f aca="false">SUMIFS(Rashodi_detalji!$L$10:$L$85,Rashodi_detalji!$B$10:$B$85,"A2203-04",Rashodi_detalji!$E$10:$E$85,"42034",Rashodi_detalji!$F$10:$F$85,"32931")</f>
        <v>2000</v>
      </c>
      <c r="E75" s="8" t="n">
        <f aca="false">SUMIFS(Rashodi_detalji!$M$10:$M$85,Rashodi_detalji!$B$10:$B$85,"A2203-04",Rashodi_detalji!$E$10:$E$85,"42034",Rashodi_detalji!$F$10:$F$85,"32931")</f>
        <v>2030</v>
      </c>
      <c r="F75" s="8" t="n">
        <f aca="false">SUMIFS(Rashodi_detalji!$N$10:$N$85,Rashodi_detalji!$B$10:$B$85,"A2203-04",Rashodi_detalji!$E$10:$E$85,"42034",Rashodi_detalji!$F$10:$F$85,"32931")</f>
        <v>2060.45</v>
      </c>
    </row>
    <row r="76" customFormat="false" ht="15" hidden="false" customHeight="false" outlineLevel="0" collapsed="false">
      <c r="A76" s="6" t="s">
        <v>331</v>
      </c>
      <c r="B76" s="6" t="s">
        <v>332</v>
      </c>
      <c r="C76" s="7" t="s">
        <v>211</v>
      </c>
      <c r="D76" s="8" t="n">
        <f aca="false">SUMIFS(Rashodi_detalji!$L$10:$L$85,Rashodi_detalji!$B$10:$B$85,"A2203-04",Rashodi_detalji!$E$10:$E$85,"42034",Rashodi_detalji!$F$10:$F$85,"42219")</f>
        <v>2000</v>
      </c>
      <c r="E76" s="8" t="n">
        <f aca="false">SUMIFS(Rashodi_detalji!$M$10:$M$85,Rashodi_detalji!$B$10:$B$85,"A2203-04",Rashodi_detalji!$E$10:$E$85,"42034",Rashodi_detalji!$F$10:$F$85,"42219")</f>
        <v>2030</v>
      </c>
      <c r="F76" s="8" t="n">
        <f aca="false">SUMIFS(Rashodi_detalji!$N$10:$N$85,Rashodi_detalji!$B$10:$B$85,"A2203-04",Rashodi_detalji!$E$10:$E$85,"42034",Rashodi_detalji!$F$10:$F$85,"42219")</f>
        <v>2060.45</v>
      </c>
    </row>
    <row r="77" customFormat="false" ht="15" hidden="false" customHeight="false" outlineLevel="0" collapsed="false">
      <c r="A77" s="6" t="s">
        <v>333</v>
      </c>
      <c r="B77" s="6" t="s">
        <v>334</v>
      </c>
      <c r="C77" s="7" t="s">
        <v>211</v>
      </c>
      <c r="D77" s="8" t="n">
        <f aca="false">SUMIFS(Rashodi_detalji!$L$10:$L$85,Rashodi_detalji!$B$10:$B$85,"A2203-04",Rashodi_detalji!$E$10:$E$85,"42034",Rashodi_detalji!$F$10:$F$85,"42271")</f>
        <v>3000</v>
      </c>
      <c r="E77" s="8" t="n">
        <f aca="false">SUMIFS(Rashodi_detalji!$M$10:$M$85,Rashodi_detalji!$B$10:$B$85,"A2203-04",Rashodi_detalji!$E$10:$E$85,"42034",Rashodi_detalji!$F$10:$F$85,"42271")</f>
        <v>3045</v>
      </c>
      <c r="F77" s="8" t="n">
        <f aca="false">SUMIFS(Rashodi_detalji!$N$10:$N$85,Rashodi_detalji!$B$10:$B$85,"A2203-04",Rashodi_detalji!$E$10:$E$85,"42034",Rashodi_detalji!$F$10:$F$85,"42271")</f>
        <v>3090.68</v>
      </c>
    </row>
    <row r="78" customFormat="false" ht="15" hidden="false" customHeight="false" outlineLevel="0" collapsed="false">
      <c r="A78" s="6" t="s">
        <v>347</v>
      </c>
      <c r="B78" s="6" t="s">
        <v>194</v>
      </c>
      <c r="C78" s="7" t="s">
        <v>211</v>
      </c>
      <c r="D78" s="8" t="n">
        <f aca="false">SUMIFS(Rashodi_detalji!$L$10:$L$85,Rashodi_detalji!$B$10:$B$85,"A2203-04",Rashodi_detalji!$E$10:$E$85,"42034",Rashodi_detalji!$F$10:$F$85,"45111")</f>
        <v>12867.33</v>
      </c>
      <c r="E78" s="8" t="n">
        <f aca="false">SUMIFS(Rashodi_detalji!$M$10:$M$85,Rashodi_detalji!$B$10:$B$85,"A2203-04",Rashodi_detalji!$E$10:$E$85,"42034",Rashodi_detalji!$F$10:$F$85,"45111")</f>
        <v>13060.34</v>
      </c>
      <c r="F78" s="8" t="n">
        <f aca="false">SUMIFS(Rashodi_detalji!$N$10:$N$85,Rashodi_detalji!$B$10:$B$85,"A2203-04",Rashodi_detalji!$E$10:$E$85,"42034",Rashodi_detalji!$F$10:$F$85,"45111")</f>
        <v>13256.25</v>
      </c>
    </row>
    <row r="79" customFormat="false" ht="15" hidden="false" customHeight="false" outlineLevel="0" collapsed="false">
      <c r="A79" s="24" t="s">
        <v>348</v>
      </c>
      <c r="B79" s="24" t="s">
        <v>349</v>
      </c>
      <c r="C79" s="25" t="s">
        <v>217</v>
      </c>
      <c r="D79" s="26" t="n">
        <f aca="false">SUMIFS(Rashodi_detalji!$L$10:$L$85,Rashodi_detalji!$B$10:$B$85,"A2203-04",Rashodi_detalji!$E$10:$E$85,"5103")</f>
        <v>6000</v>
      </c>
      <c r="E79" s="26" t="n">
        <f aca="false">SUMIFS(Rashodi_detalji!$M$10:$M$85,Rashodi_detalji!$B$10:$B$85,"A2203-04",Rashodi_detalji!$E$10:$E$85,"5103")</f>
        <v>6090</v>
      </c>
      <c r="F79" s="26" t="n">
        <f aca="false">SUMIFS(Rashodi_detalji!$N$10:$N$85,Rashodi_detalji!$B$10:$B$85,"A2203-04",Rashodi_detalji!$E$10:$E$85,"5103")</f>
        <v>6181.34</v>
      </c>
    </row>
    <row r="80" customFormat="false" ht="15" hidden="false" customHeight="false" outlineLevel="0" collapsed="false">
      <c r="A80" s="6" t="s">
        <v>264</v>
      </c>
      <c r="B80" s="6" t="s">
        <v>265</v>
      </c>
      <c r="C80" s="7" t="s">
        <v>217</v>
      </c>
      <c r="D80" s="8" t="n">
        <f aca="false">SUMIFS(Rashodi_detalji!$L$10:$L$85,Rashodi_detalji!$B$10:$B$85,"A2203-04",Rashodi_detalji!$E$10:$E$85,"5103",Rashodi_detalji!$F$10:$F$85,"32221")</f>
        <v>500</v>
      </c>
      <c r="E80" s="8" t="n">
        <f aca="false">SUMIFS(Rashodi_detalji!$M$10:$M$85,Rashodi_detalji!$B$10:$B$85,"A2203-04",Rashodi_detalji!$E$10:$E$85,"5103",Rashodi_detalji!$F$10:$F$85,"32221")</f>
        <v>507.5</v>
      </c>
      <c r="F80" s="8" t="n">
        <f aca="false">SUMIFS(Rashodi_detalji!$N$10:$N$85,Rashodi_detalji!$B$10:$B$85,"A2203-04",Rashodi_detalji!$E$10:$E$85,"5103",Rashodi_detalji!$F$10:$F$85,"32221")</f>
        <v>515.11</v>
      </c>
    </row>
    <row r="81" customFormat="false" ht="15" hidden="false" customHeight="false" outlineLevel="0" collapsed="false">
      <c r="A81" s="6" t="s">
        <v>350</v>
      </c>
      <c r="B81" s="6" t="s">
        <v>351</v>
      </c>
      <c r="C81" s="7" t="s">
        <v>217</v>
      </c>
      <c r="D81" s="8" t="n">
        <f aca="false">SUMIFS(Rashodi_detalji!$L$10:$L$85,Rashodi_detalji!$B$10:$B$85,"A2203-04",Rashodi_detalji!$E$10:$E$85,"5103",Rashodi_detalji!$F$10:$F$85,"32372")</f>
        <v>500</v>
      </c>
      <c r="E81" s="8" t="n">
        <f aca="false">SUMIFS(Rashodi_detalji!$M$10:$M$85,Rashodi_detalji!$B$10:$B$85,"A2203-04",Rashodi_detalji!$E$10:$E$85,"5103",Rashodi_detalji!$F$10:$F$85,"32372")</f>
        <v>507.5</v>
      </c>
      <c r="F81" s="8" t="n">
        <f aca="false">SUMIFS(Rashodi_detalji!$N$10:$N$85,Rashodi_detalji!$B$10:$B$85,"A2203-04",Rashodi_detalji!$E$10:$E$85,"5103",Rashodi_detalji!$F$10:$F$85,"32372")</f>
        <v>515.11</v>
      </c>
    </row>
    <row r="82" customFormat="false" ht="15" hidden="false" customHeight="false" outlineLevel="0" collapsed="false">
      <c r="A82" s="6" t="s">
        <v>352</v>
      </c>
      <c r="B82" s="6" t="s">
        <v>353</v>
      </c>
      <c r="C82" s="7" t="s">
        <v>217</v>
      </c>
      <c r="D82" s="8" t="n">
        <f aca="false">SUMIFS(Rashodi_detalji!$L$10:$L$85,Rashodi_detalji!$B$10:$B$85,"A2203-04",Rashodi_detalji!$E$10:$E$85,"5103",Rashodi_detalji!$F$10:$F$85,"37221")</f>
        <v>5000</v>
      </c>
      <c r="E82" s="8" t="n">
        <f aca="false">SUMIFS(Rashodi_detalji!$M$10:$M$85,Rashodi_detalji!$B$10:$B$85,"A2203-04",Rashodi_detalji!$E$10:$E$85,"5103",Rashodi_detalji!$F$10:$F$85,"37221")</f>
        <v>5075</v>
      </c>
      <c r="F82" s="8" t="n">
        <f aca="false">SUMIFS(Rashodi_detalji!$N$10:$N$85,Rashodi_detalji!$B$10:$B$85,"A2203-04",Rashodi_detalji!$E$10:$E$85,"5103",Rashodi_detalji!$F$10:$F$85,"37221")</f>
        <v>5151.12</v>
      </c>
    </row>
    <row r="83" customFormat="false" ht="15" hidden="false" customHeight="false" outlineLevel="0" collapsed="false">
      <c r="A83" s="24" t="s">
        <v>354</v>
      </c>
      <c r="B83" s="24" t="s">
        <v>355</v>
      </c>
      <c r="C83" s="25" t="s">
        <v>219</v>
      </c>
      <c r="D83" s="26" t="n">
        <f aca="false">SUMIFS(Rashodi_detalji!$L$10:$L$85,Rashodi_detalji!$B$10:$B$85,"A2203-04",Rashodi_detalji!$E$10:$E$85,"51034")</f>
        <v>1000</v>
      </c>
      <c r="E83" s="26" t="n">
        <f aca="false">SUMIFS(Rashodi_detalji!$M$10:$M$85,Rashodi_detalji!$B$10:$B$85,"A2203-04",Rashodi_detalji!$E$10:$E$85,"51034")</f>
        <v>1015</v>
      </c>
      <c r="F83" s="26" t="n">
        <f aca="false">SUMIFS(Rashodi_detalji!$N$10:$N$85,Rashodi_detalji!$B$10:$B$85,"A2203-04",Rashodi_detalji!$E$10:$E$85,"51034")</f>
        <v>1030.23</v>
      </c>
    </row>
    <row r="84" customFormat="false" ht="15" hidden="false" customHeight="false" outlineLevel="0" collapsed="false">
      <c r="A84" s="6" t="s">
        <v>356</v>
      </c>
      <c r="B84" s="6" t="s">
        <v>186</v>
      </c>
      <c r="C84" s="7" t="s">
        <v>219</v>
      </c>
      <c r="D84" s="8" t="n">
        <f aca="false">SUMIFS(Rashodi_detalji!$L$10:$L$85,Rashodi_detalji!$B$10:$B$85,"A2203-04",Rashodi_detalji!$E$10:$E$85,"51034",Rashodi_detalji!$F$10:$F$85,"42411")</f>
        <v>1000</v>
      </c>
      <c r="E84" s="8" t="n">
        <f aca="false">SUMIFS(Rashodi_detalji!$M$10:$M$85,Rashodi_detalji!$B$10:$B$85,"A2203-04",Rashodi_detalji!$E$10:$E$85,"51034",Rashodi_detalji!$F$10:$F$85,"42411")</f>
        <v>1015</v>
      </c>
      <c r="F84" s="8" t="n">
        <f aca="false">SUMIFS(Rashodi_detalji!$N$10:$N$85,Rashodi_detalji!$B$10:$B$85,"A2203-04",Rashodi_detalji!$E$10:$E$85,"51034",Rashodi_detalji!$F$10:$F$85,"42411")</f>
        <v>1030.23</v>
      </c>
    </row>
    <row r="85" customFormat="false" ht="15" hidden="false" customHeight="false" outlineLevel="0" collapsed="false">
      <c r="A85" s="24" t="s">
        <v>357</v>
      </c>
      <c r="B85" s="24" t="s">
        <v>358</v>
      </c>
      <c r="C85" s="25" t="s">
        <v>229</v>
      </c>
      <c r="D85" s="26" t="n">
        <f aca="false">SUMIFS(Rashodi_detalji!$L$10:$L$85,Rashodi_detalji!$B$10:$B$85,"A2203-04",Rashodi_detalji!$E$10:$E$85,"53")</f>
        <v>66000</v>
      </c>
      <c r="E85" s="26" t="n">
        <f aca="false">SUMIFS(Rashodi_detalji!$M$10:$M$85,Rashodi_detalji!$B$10:$B$85,"A2203-04",Rashodi_detalji!$E$10:$E$85,"53")</f>
        <v>66990</v>
      </c>
      <c r="F85" s="26" t="n">
        <f aca="false">SUMIFS(Rashodi_detalji!$N$10:$N$85,Rashodi_detalji!$B$10:$B$85,"A2203-04",Rashodi_detalji!$E$10:$E$85,"53")</f>
        <v>67994.85</v>
      </c>
    </row>
    <row r="86" customFormat="false" ht="15" hidden="false" customHeight="false" outlineLevel="0" collapsed="false">
      <c r="A86" s="6" t="s">
        <v>307</v>
      </c>
      <c r="B86" s="6" t="s">
        <v>93</v>
      </c>
      <c r="C86" s="7" t="s">
        <v>229</v>
      </c>
      <c r="D86" s="8" t="n">
        <f aca="false">SUMIFS(Rashodi_detalji!$L$10:$L$85,Rashodi_detalji!$B$10:$B$85,"A2203-04",Rashodi_detalji!$E$10:$E$85,"53",Rashodi_detalji!$F$10:$F$85,"31111")</f>
        <v>18000</v>
      </c>
      <c r="E86" s="8" t="n">
        <f aca="false">SUMIFS(Rashodi_detalji!$M$10:$M$85,Rashodi_detalji!$B$10:$B$85,"A2203-04",Rashodi_detalji!$E$10:$E$85,"53",Rashodi_detalji!$F$10:$F$85,"31111")</f>
        <v>18270</v>
      </c>
      <c r="F86" s="8" t="n">
        <f aca="false">SUMIFS(Rashodi_detalji!$N$10:$N$85,Rashodi_detalji!$B$10:$B$85,"A2203-04",Rashodi_detalji!$E$10:$E$85,"53",Rashodi_detalji!$F$10:$F$85,"31111")</f>
        <v>18544.05</v>
      </c>
    </row>
    <row r="87" customFormat="false" ht="15" hidden="false" customHeight="false" outlineLevel="0" collapsed="false">
      <c r="A87" s="6" t="s">
        <v>308</v>
      </c>
      <c r="B87" s="6" t="s">
        <v>309</v>
      </c>
      <c r="C87" s="7" t="s">
        <v>229</v>
      </c>
      <c r="D87" s="8" t="n">
        <f aca="false">SUMIFS(Rashodi_detalji!$L$10:$L$85,Rashodi_detalji!$B$10:$B$85,"A2203-04",Rashodi_detalji!$E$10:$E$85,"53",Rashodi_detalji!$F$10:$F$85,"31321")</f>
        <v>3000</v>
      </c>
      <c r="E87" s="8" t="n">
        <f aca="false">SUMIFS(Rashodi_detalji!$M$10:$M$85,Rashodi_detalji!$B$10:$B$85,"A2203-04",Rashodi_detalji!$E$10:$E$85,"53",Rashodi_detalji!$F$10:$F$85,"31321")</f>
        <v>3045</v>
      </c>
      <c r="F87" s="8" t="n">
        <f aca="false">SUMIFS(Rashodi_detalji!$N$10:$N$85,Rashodi_detalji!$B$10:$B$85,"A2203-04",Rashodi_detalji!$E$10:$E$85,"53",Rashodi_detalji!$F$10:$F$85,"31321")</f>
        <v>3090.68</v>
      </c>
    </row>
    <row r="88" customFormat="false" ht="15" hidden="false" customHeight="false" outlineLevel="0" collapsed="false">
      <c r="A88" s="6" t="s">
        <v>359</v>
      </c>
      <c r="B88" s="6" t="s">
        <v>360</v>
      </c>
      <c r="C88" s="7" t="s">
        <v>229</v>
      </c>
      <c r="D88" s="8" t="n">
        <f aca="false">SUMIFS(Rashodi_detalji!$L$10:$L$85,Rashodi_detalji!$B$10:$B$85,"A2203-04",Rashodi_detalji!$E$10:$E$85,"53",Rashodi_detalji!$F$10:$F$85,"37229")</f>
        <v>45000</v>
      </c>
      <c r="E88" s="8" t="n">
        <f aca="false">SUMIFS(Rashodi_detalji!$M$10:$M$85,Rashodi_detalji!$B$10:$B$85,"A2203-04",Rashodi_detalji!$E$10:$E$85,"53",Rashodi_detalji!$F$10:$F$85,"37229")</f>
        <v>45675</v>
      </c>
      <c r="F88" s="8" t="n">
        <f aca="false">SUMIFS(Rashodi_detalji!$N$10:$N$85,Rashodi_detalji!$B$10:$B$85,"A2203-04",Rashodi_detalji!$E$10:$E$85,"53",Rashodi_detalji!$F$10:$F$85,"37229")</f>
        <v>46360.12</v>
      </c>
    </row>
    <row r="89" customFormat="false" ht="15" hidden="false" customHeight="false" outlineLevel="0" collapsed="false">
      <c r="A89" s="13" t="s">
        <v>361</v>
      </c>
      <c r="B89" s="13" t="s">
        <v>362</v>
      </c>
      <c r="C89" s="14"/>
      <c r="D89" s="15" t="n">
        <f aca="false">SUMIFS(Rashodi_detalji!$L$10:$L$85,Rashodi_detalji!$B$10:$B$85,"A2203-27")</f>
        <v>74000</v>
      </c>
      <c r="E89" s="15" t="n">
        <f aca="false">SUMIFS(Rashodi_detalji!$M$10:$M$85,Rashodi_detalji!$B$10:$B$85,"A2203-27")</f>
        <v>75110</v>
      </c>
      <c r="F89" s="15" t="n">
        <f aca="false">SUMIFS(Rashodi_detalji!$N$10:$N$85,Rashodi_detalji!$B$10:$B$85,"A2203-27")</f>
        <v>76236.64</v>
      </c>
    </row>
    <row r="90" customFormat="false" ht="15" hidden="false" customHeight="false" outlineLevel="0" collapsed="false">
      <c r="A90" s="24" t="s">
        <v>344</v>
      </c>
      <c r="B90" s="24" t="s">
        <v>345</v>
      </c>
      <c r="C90" s="25" t="s">
        <v>211</v>
      </c>
      <c r="D90" s="26" t="n">
        <f aca="false">SUMIFS(Rashodi_detalji!$L$10:$L$85,Rashodi_detalji!$B$10:$B$85,"A2203-27",Rashodi_detalji!$E$10:$E$85,"42034")</f>
        <v>37000</v>
      </c>
      <c r="E90" s="26" t="n">
        <f aca="false">SUMIFS(Rashodi_detalji!$M$10:$M$85,Rashodi_detalji!$B$10:$B$85,"A2203-27",Rashodi_detalji!$E$10:$E$85,"42034")</f>
        <v>37555</v>
      </c>
      <c r="F90" s="26" t="n">
        <f aca="false">SUMIFS(Rashodi_detalji!$N$10:$N$85,Rashodi_detalji!$B$10:$B$85,"A2203-27",Rashodi_detalji!$E$10:$E$85,"42034")</f>
        <v>38118.32</v>
      </c>
    </row>
    <row r="91" customFormat="false" ht="15" hidden="false" customHeight="false" outlineLevel="0" collapsed="false">
      <c r="A91" s="6" t="s">
        <v>356</v>
      </c>
      <c r="B91" s="6" t="s">
        <v>363</v>
      </c>
      <c r="C91" s="7" t="s">
        <v>211</v>
      </c>
      <c r="D91" s="8" t="n">
        <f aca="false">SUMIFS(Rashodi_detalji!$L$10:$L$85,Rashodi_detalji!$B$10:$B$85,"A2203-27",Rashodi_detalji!$E$10:$E$85,"42034",Rashodi_detalji!$F$10:$F$85,"42411")</f>
        <v>37000</v>
      </c>
      <c r="E91" s="8" t="n">
        <f aca="false">SUMIFS(Rashodi_detalji!$M$10:$M$85,Rashodi_detalji!$B$10:$B$85,"A2203-27",Rashodi_detalji!$E$10:$E$85,"42034",Rashodi_detalji!$F$10:$F$85,"42411")</f>
        <v>37555</v>
      </c>
      <c r="F91" s="8" t="n">
        <f aca="false">SUMIFS(Rashodi_detalji!$N$10:$N$85,Rashodi_detalji!$B$10:$B$85,"A2203-27",Rashodi_detalji!$E$10:$E$85,"42034",Rashodi_detalji!$F$10:$F$85,"42411")</f>
        <v>38118.32</v>
      </c>
    </row>
    <row r="92" customFormat="false" ht="15" hidden="false" customHeight="false" outlineLevel="0" collapsed="false">
      <c r="A92" s="24" t="s">
        <v>354</v>
      </c>
      <c r="B92" s="24" t="s">
        <v>355</v>
      </c>
      <c r="C92" s="25" t="s">
        <v>219</v>
      </c>
      <c r="D92" s="26" t="n">
        <f aca="false">SUMIFS(Rashodi_detalji!$L$10:$L$85,Rashodi_detalji!$B$10:$B$85,"A2203-27",Rashodi_detalji!$E$10:$E$85,"51034")</f>
        <v>37000</v>
      </c>
      <c r="E92" s="26" t="n">
        <f aca="false">SUMIFS(Rashodi_detalji!$M$10:$M$85,Rashodi_detalji!$B$10:$B$85,"A2203-27",Rashodi_detalji!$E$10:$E$85,"51034")</f>
        <v>37555</v>
      </c>
      <c r="F92" s="26" t="n">
        <f aca="false">SUMIFS(Rashodi_detalji!$N$10:$N$85,Rashodi_detalji!$B$10:$B$85,"A2203-27",Rashodi_detalji!$E$10:$E$85,"51034")</f>
        <v>38118.32</v>
      </c>
    </row>
    <row r="93" customFormat="false" ht="15" hidden="false" customHeight="false" outlineLevel="0" collapsed="false">
      <c r="A93" s="6" t="s">
        <v>356</v>
      </c>
      <c r="B93" s="6" t="s">
        <v>363</v>
      </c>
      <c r="C93" s="7" t="s">
        <v>219</v>
      </c>
      <c r="D93" s="8" t="n">
        <f aca="false">SUMIFS(Rashodi_detalji!$L$10:$L$85,Rashodi_detalji!$B$10:$B$85,"A2203-27",Rashodi_detalji!$E$10:$E$85,"51034",Rashodi_detalji!$F$10:$F$85,"42411")</f>
        <v>37000</v>
      </c>
      <c r="E93" s="8" t="n">
        <f aca="false">SUMIFS(Rashodi_detalji!$M$10:$M$85,Rashodi_detalji!$B$10:$B$85,"A2203-27",Rashodi_detalji!$E$10:$E$85,"51034",Rashodi_detalji!$F$10:$F$85,"42411")</f>
        <v>37555</v>
      </c>
      <c r="F93" s="8" t="n">
        <f aca="false">SUMIFS(Rashodi_detalji!$N$10:$N$85,Rashodi_detalji!$B$10:$B$85,"A2203-27",Rashodi_detalji!$E$10:$E$85,"51034",Rashodi_detalji!$F$10:$F$85,"42411")</f>
        <v>38118.32</v>
      </c>
    </row>
    <row r="94" customFormat="false" ht="15" hidden="false" customHeight="false" outlineLevel="0" collapsed="false">
      <c r="A94" s="13" t="s">
        <v>364</v>
      </c>
      <c r="B94" s="13" t="s">
        <v>365</v>
      </c>
      <c r="C94" s="14"/>
      <c r="D94" s="15" t="n">
        <f aca="false">SUMIFS(Rashodi_detalji!$L$10:$L$85,Rashodi_detalji!$B$10:$B$85,"A2203-33")</f>
        <v>120000</v>
      </c>
      <c r="E94" s="15" t="n">
        <f aca="false">SUMIFS(Rashodi_detalji!$M$10:$M$85,Rashodi_detalji!$B$10:$B$85,"A2203-33")</f>
        <v>121800</v>
      </c>
      <c r="F94" s="15" t="n">
        <f aca="false">SUMIFS(Rashodi_detalji!$N$10:$N$85,Rashodi_detalji!$B$10:$B$85,"A2203-33")</f>
        <v>123627</v>
      </c>
    </row>
    <row r="95" customFormat="false" ht="15" hidden="false" customHeight="false" outlineLevel="0" collapsed="false">
      <c r="A95" s="24" t="s">
        <v>366</v>
      </c>
      <c r="B95" s="24" t="s">
        <v>367</v>
      </c>
      <c r="C95" s="25" t="s">
        <v>225</v>
      </c>
      <c r="D95" s="26" t="n">
        <f aca="false">SUMIFS(Rashodi_detalji!$L$10:$L$85,Rashodi_detalji!$B$10:$B$85,"A2203-33",Rashodi_detalji!$E$10:$E$85,"510391")</f>
        <v>120000</v>
      </c>
      <c r="E95" s="26" t="n">
        <f aca="false">SUMIFS(Rashodi_detalji!$M$10:$M$85,Rashodi_detalji!$B$10:$B$85,"A2203-33",Rashodi_detalji!$E$10:$E$85,"510391")</f>
        <v>121800</v>
      </c>
      <c r="F95" s="26" t="n">
        <f aca="false">SUMIFS(Rashodi_detalji!$N$10:$N$85,Rashodi_detalji!$B$10:$B$85,"A2203-33",Rashodi_detalji!$E$10:$E$85,"510391")</f>
        <v>123627</v>
      </c>
    </row>
    <row r="96" customFormat="false" ht="15" hidden="false" customHeight="false" outlineLevel="0" collapsed="false">
      <c r="A96" s="6" t="s">
        <v>342</v>
      </c>
      <c r="B96" s="6" t="s">
        <v>343</v>
      </c>
      <c r="C96" s="7" t="s">
        <v>225</v>
      </c>
      <c r="D96" s="8" t="n">
        <f aca="false">SUMIFS(Rashodi_detalji!$L$10:$L$85,Rashodi_detalji!$B$10:$B$85,"A2203-33",Rashodi_detalji!$E$10:$E$85,"510391",Rashodi_detalji!$F$10:$F$85,"32224")</f>
        <v>120000</v>
      </c>
      <c r="E96" s="8" t="n">
        <f aca="false">SUMIFS(Rashodi_detalji!$M$10:$M$85,Rashodi_detalji!$B$10:$B$85,"A2203-33",Rashodi_detalji!$E$10:$E$85,"510391",Rashodi_detalji!$F$10:$F$85,"32224")</f>
        <v>121800</v>
      </c>
      <c r="F96" s="8" t="n">
        <f aca="false">SUMIFS(Rashodi_detalji!$N$10:$N$85,Rashodi_detalji!$B$10:$B$85,"A2203-33",Rashodi_detalji!$E$10:$E$85,"510391",Rashodi_detalji!$F$10:$F$85,"32224")</f>
        <v>123627</v>
      </c>
    </row>
    <row r="97" customFormat="false" ht="15" hidden="false" customHeight="false" outlineLevel="0" collapsed="false">
      <c r="A97" s="13" t="s">
        <v>368</v>
      </c>
      <c r="B97" s="13" t="s">
        <v>369</v>
      </c>
      <c r="C97" s="14"/>
      <c r="D97" s="15" t="n">
        <f aca="false">SUMIFS(Rashodi_detalji!$L$10:$L$85,Rashodi_detalji!$B$10:$B$85,"A2203-34")</f>
        <v>1360</v>
      </c>
      <c r="E97" s="15" t="n">
        <f aca="false">SUMIFS(Rashodi_detalji!$M$10:$M$85,Rashodi_detalji!$B$10:$B$85,"A2203-34")</f>
        <v>1380.4</v>
      </c>
      <c r="F97" s="15" t="n">
        <f aca="false">SUMIFS(Rashodi_detalji!$N$10:$N$85,Rashodi_detalji!$B$10:$B$85,"A2203-34")</f>
        <v>1401.11</v>
      </c>
    </row>
    <row r="98" customFormat="false" ht="15" hidden="false" customHeight="false" outlineLevel="0" collapsed="false">
      <c r="A98" s="24" t="s">
        <v>370</v>
      </c>
      <c r="B98" s="24" t="s">
        <v>371</v>
      </c>
      <c r="C98" s="25" t="s">
        <v>227</v>
      </c>
      <c r="D98" s="26" t="n">
        <f aca="false">SUMIFS(Rashodi_detalji!$L$10:$L$85,Rashodi_detalji!$B$10:$B$85,"A2203-34",Rashodi_detalji!$E$10:$E$85,"511903")</f>
        <v>1360</v>
      </c>
      <c r="E98" s="26" t="n">
        <f aca="false">SUMIFS(Rashodi_detalji!$M$10:$M$85,Rashodi_detalji!$B$10:$B$85,"A2203-34",Rashodi_detalji!$E$10:$E$85,"511903")</f>
        <v>1380.4</v>
      </c>
      <c r="F98" s="26" t="n">
        <f aca="false">SUMIFS(Rashodi_detalji!$N$10:$N$85,Rashodi_detalji!$B$10:$B$85,"A2203-34",Rashodi_detalji!$E$10:$E$85,"511903")</f>
        <v>1401.11</v>
      </c>
    </row>
    <row r="99" customFormat="false" ht="15" hidden="false" customHeight="false" outlineLevel="0" collapsed="false">
      <c r="A99" s="6" t="s">
        <v>372</v>
      </c>
      <c r="B99" s="6" t="s">
        <v>373</v>
      </c>
      <c r="C99" s="7" t="s">
        <v>227</v>
      </c>
      <c r="D99" s="8" t="n">
        <f aca="false">SUMIFS(Rashodi_detalji!$L$10:$L$85,Rashodi_detalji!$B$10:$B$85,"A2203-34",Rashodi_detalji!$E$10:$E$85,"511903",Rashodi_detalji!$F$10:$F$85,"38129")</f>
        <v>1360</v>
      </c>
      <c r="E99" s="8" t="n">
        <f aca="false">SUMIFS(Rashodi_detalji!$M$10:$M$85,Rashodi_detalji!$B$10:$B$85,"A2203-34",Rashodi_detalji!$E$10:$E$85,"511903",Rashodi_detalji!$F$10:$F$85,"38129")</f>
        <v>1380.4</v>
      </c>
      <c r="F99" s="8" t="n">
        <f aca="false">SUMIFS(Rashodi_detalji!$N$10:$N$85,Rashodi_detalji!$B$10:$B$85,"A2203-34",Rashodi_detalji!$E$10:$E$85,"511903",Rashodi_detalji!$F$10:$F$85,"38129")</f>
        <v>1401.11</v>
      </c>
    </row>
    <row r="100" customFormat="false" ht="15" hidden="false" customHeight="false" outlineLevel="0" collapsed="false">
      <c r="A100" s="10" t="s">
        <v>374</v>
      </c>
      <c r="B100" s="10" t="s">
        <v>375</v>
      </c>
      <c r="C100" s="11"/>
      <c r="D100" s="12" t="n">
        <f aca="false">SUMIFS(Rashodi_detalji!$L$10:$L$85,Rashodi_detalji!$A$10:$A$85,"4306")</f>
        <v>107500</v>
      </c>
      <c r="E100" s="12" t="n">
        <f aca="false">SUMIFS(Rashodi_detalji!$M$10:$M$85,Rashodi_detalji!$A$10:$A$85,"4306")</f>
        <v>109112.5</v>
      </c>
      <c r="F100" s="12" t="n">
        <f aca="false">SUMIFS(Rashodi_detalji!$N$10:$N$85,Rashodi_detalji!$A$10:$A$85,"4306")</f>
        <v>110749.18</v>
      </c>
    </row>
    <row r="101" customFormat="false" ht="15" hidden="false" customHeight="false" outlineLevel="0" collapsed="false">
      <c r="A101" s="13" t="s">
        <v>376</v>
      </c>
      <c r="B101" s="13" t="s">
        <v>377</v>
      </c>
      <c r="C101" s="14"/>
      <c r="D101" s="15" t="n">
        <f aca="false">SUMIFS(Rashodi_detalji!$L$10:$L$85,Rashodi_detalji!$B$10:$B$85,"T4306-03")</f>
        <v>107500</v>
      </c>
      <c r="E101" s="15" t="n">
        <f aca="false">SUMIFS(Rashodi_detalji!$M$10:$M$85,Rashodi_detalji!$B$10:$B$85,"T4306-03")</f>
        <v>109112.5</v>
      </c>
      <c r="F101" s="15" t="n">
        <f aca="false">SUMIFS(Rashodi_detalji!$N$10:$N$85,Rashodi_detalji!$B$10:$B$85,"T4306-03")</f>
        <v>110749.18</v>
      </c>
    </row>
    <row r="102" customFormat="false" ht="15" hidden="false" customHeight="false" outlineLevel="0" collapsed="false">
      <c r="A102" s="24" t="s">
        <v>318</v>
      </c>
      <c r="B102" s="24" t="s">
        <v>319</v>
      </c>
      <c r="C102" s="25" t="s">
        <v>203</v>
      </c>
      <c r="D102" s="26" t="n">
        <f aca="false">SUMIFS(Rashodi_detalji!$L$10:$L$85,Rashodi_detalji!$B$10:$B$85,"T4306-03",Rashodi_detalji!$E$10:$E$85,"110")</f>
        <v>55000</v>
      </c>
      <c r="E102" s="26" t="n">
        <f aca="false">SUMIFS(Rashodi_detalji!$M$10:$M$85,Rashodi_detalji!$B$10:$B$85,"T4306-03",Rashodi_detalji!$E$10:$E$85,"110")</f>
        <v>55825</v>
      </c>
      <c r="F102" s="26" t="n">
        <f aca="false">SUMIFS(Rashodi_detalji!$N$10:$N$85,Rashodi_detalji!$B$10:$B$85,"T4306-03",Rashodi_detalji!$E$10:$E$85,"110")</f>
        <v>56662.37</v>
      </c>
    </row>
    <row r="103" customFormat="false" ht="15" hidden="false" customHeight="false" outlineLevel="0" collapsed="false">
      <c r="A103" s="6" t="s">
        <v>307</v>
      </c>
      <c r="B103" s="6" t="s">
        <v>93</v>
      </c>
      <c r="C103" s="7" t="s">
        <v>203</v>
      </c>
      <c r="D103" s="8" t="n">
        <f aca="false">SUMIFS(Rashodi_detalji!$L$10:$L$85,Rashodi_detalji!$B$10:$B$85,"T4306-03",Rashodi_detalji!$E$10:$E$85,"110",Rashodi_detalji!$F$10:$F$85,"31111")</f>
        <v>25000</v>
      </c>
      <c r="E103" s="8" t="n">
        <f aca="false">SUMIFS(Rashodi_detalji!$M$10:$M$85,Rashodi_detalji!$B$10:$B$85,"T4306-03",Rashodi_detalji!$E$10:$E$85,"110",Rashodi_detalji!$F$10:$F$85,"31111")</f>
        <v>25375</v>
      </c>
      <c r="F103" s="8" t="n">
        <f aca="false">SUMIFS(Rashodi_detalji!$N$10:$N$85,Rashodi_detalji!$B$10:$B$85,"T4306-03",Rashodi_detalji!$E$10:$E$85,"110",Rashodi_detalji!$F$10:$F$85,"31111")</f>
        <v>25755.62</v>
      </c>
    </row>
    <row r="104" customFormat="false" ht="15" hidden="false" customHeight="false" outlineLevel="0" collapsed="false">
      <c r="A104" s="6" t="s">
        <v>340</v>
      </c>
      <c r="B104" s="6" t="s">
        <v>341</v>
      </c>
      <c r="C104" s="7" t="s">
        <v>203</v>
      </c>
      <c r="D104" s="8" t="n">
        <f aca="false">SUMIFS(Rashodi_detalji!$L$10:$L$85,Rashodi_detalji!$B$10:$B$85,"T4306-03",Rashodi_detalji!$E$10:$E$85,"110",Rashodi_detalji!$F$10:$F$85,"31219")</f>
        <v>10000</v>
      </c>
      <c r="E104" s="8" t="n">
        <f aca="false">SUMIFS(Rashodi_detalji!$M$10:$M$85,Rashodi_detalji!$B$10:$B$85,"T4306-03",Rashodi_detalji!$E$10:$E$85,"110",Rashodi_detalji!$F$10:$F$85,"31219")</f>
        <v>10150</v>
      </c>
      <c r="F104" s="8" t="n">
        <f aca="false">SUMIFS(Rashodi_detalji!$N$10:$N$85,Rashodi_detalji!$B$10:$B$85,"T4306-03",Rashodi_detalji!$E$10:$E$85,"110",Rashodi_detalji!$F$10:$F$85,"31219")</f>
        <v>10302.25</v>
      </c>
    </row>
    <row r="105" customFormat="false" ht="15" hidden="false" customHeight="false" outlineLevel="0" collapsed="false">
      <c r="A105" s="6" t="s">
        <v>308</v>
      </c>
      <c r="B105" s="6" t="s">
        <v>309</v>
      </c>
      <c r="C105" s="7" t="s">
        <v>203</v>
      </c>
      <c r="D105" s="8" t="n">
        <f aca="false">SUMIFS(Rashodi_detalji!$L$10:$L$85,Rashodi_detalji!$B$10:$B$85,"T4306-03",Rashodi_detalji!$E$10:$E$85,"110",Rashodi_detalji!$F$10:$F$85,"31321")</f>
        <v>10000</v>
      </c>
      <c r="E105" s="8" t="n">
        <f aca="false">SUMIFS(Rashodi_detalji!$M$10:$M$85,Rashodi_detalji!$B$10:$B$85,"T4306-03",Rashodi_detalji!$E$10:$E$85,"110",Rashodi_detalji!$F$10:$F$85,"31321")</f>
        <v>10150</v>
      </c>
      <c r="F105" s="8" t="n">
        <f aca="false">SUMIFS(Rashodi_detalji!$N$10:$N$85,Rashodi_detalji!$B$10:$B$85,"T4306-03",Rashodi_detalji!$E$10:$E$85,"110",Rashodi_detalji!$F$10:$F$85,"31321")</f>
        <v>10302.25</v>
      </c>
    </row>
    <row r="106" customFormat="false" ht="15" hidden="false" customHeight="false" outlineLevel="0" collapsed="false">
      <c r="A106" s="6" t="s">
        <v>310</v>
      </c>
      <c r="B106" s="6" t="s">
        <v>311</v>
      </c>
      <c r="C106" s="7" t="s">
        <v>203</v>
      </c>
      <c r="D106" s="8" t="n">
        <f aca="false">SUMIFS(Rashodi_detalji!$L$10:$L$85,Rashodi_detalji!$B$10:$B$85,"T4306-03",Rashodi_detalji!$E$10:$E$85,"110",Rashodi_detalji!$F$10:$F$85,"32121")</f>
        <v>10000</v>
      </c>
      <c r="E106" s="8" t="n">
        <f aca="false">SUMIFS(Rashodi_detalji!$M$10:$M$85,Rashodi_detalji!$B$10:$B$85,"T4306-03",Rashodi_detalji!$E$10:$E$85,"110",Rashodi_detalji!$F$10:$F$85,"32121")</f>
        <v>10150</v>
      </c>
      <c r="F106" s="8" t="n">
        <f aca="false">SUMIFS(Rashodi_detalji!$N$10:$N$85,Rashodi_detalji!$B$10:$B$85,"T4306-03",Rashodi_detalji!$E$10:$E$85,"110",Rashodi_detalji!$F$10:$F$85,"32121")</f>
        <v>10302.25</v>
      </c>
    </row>
    <row r="107" customFormat="false" ht="15" hidden="false" customHeight="false" outlineLevel="0" collapsed="false">
      <c r="A107" s="24" t="s">
        <v>378</v>
      </c>
      <c r="B107" s="24" t="s">
        <v>379</v>
      </c>
      <c r="C107" s="25" t="s">
        <v>223</v>
      </c>
      <c r="D107" s="26" t="n">
        <f aca="false">SUMIFS(Rashodi_detalji!$L$10:$L$85,Rashodi_detalji!$B$10:$B$85,"T4306-03",Rashodi_detalji!$E$10:$E$85,"51038")</f>
        <v>16000</v>
      </c>
      <c r="E107" s="26" t="n">
        <f aca="false">SUMIFS(Rashodi_detalji!$M$10:$M$85,Rashodi_detalji!$B$10:$B$85,"T4306-03",Rashodi_detalji!$E$10:$E$85,"51038")</f>
        <v>16240</v>
      </c>
      <c r="F107" s="26" t="n">
        <f aca="false">SUMIFS(Rashodi_detalji!$N$10:$N$85,Rashodi_detalji!$B$10:$B$85,"T4306-03",Rashodi_detalji!$E$10:$E$85,"51038")</f>
        <v>16483.6</v>
      </c>
    </row>
    <row r="108" customFormat="false" ht="15" hidden="false" customHeight="false" outlineLevel="0" collapsed="false">
      <c r="A108" s="6" t="s">
        <v>307</v>
      </c>
      <c r="B108" s="6" t="s">
        <v>93</v>
      </c>
      <c r="C108" s="7" t="s">
        <v>223</v>
      </c>
      <c r="D108" s="8" t="n">
        <f aca="false">SUMIFS(Rashodi_detalji!$L$10:$L$85,Rashodi_detalji!$B$10:$B$85,"T4306-03",Rashodi_detalji!$E$10:$E$85,"51038",Rashodi_detalji!$F$10:$F$85,"31111")</f>
        <v>9000</v>
      </c>
      <c r="E108" s="8" t="n">
        <f aca="false">SUMIFS(Rashodi_detalji!$M$10:$M$85,Rashodi_detalji!$B$10:$B$85,"T4306-03",Rashodi_detalji!$E$10:$E$85,"51038",Rashodi_detalji!$F$10:$F$85,"31111")</f>
        <v>9135</v>
      </c>
      <c r="F108" s="8" t="n">
        <f aca="false">SUMIFS(Rashodi_detalji!$N$10:$N$85,Rashodi_detalji!$B$10:$B$85,"T4306-03",Rashodi_detalji!$E$10:$E$85,"51038",Rashodi_detalji!$F$10:$F$85,"31111")</f>
        <v>9272.03</v>
      </c>
    </row>
    <row r="109" customFormat="false" ht="15" hidden="false" customHeight="false" outlineLevel="0" collapsed="false">
      <c r="A109" s="6" t="s">
        <v>308</v>
      </c>
      <c r="B109" s="6" t="s">
        <v>309</v>
      </c>
      <c r="C109" s="7" t="s">
        <v>223</v>
      </c>
      <c r="D109" s="8" t="n">
        <f aca="false">SUMIFS(Rashodi_detalji!$L$10:$L$85,Rashodi_detalji!$B$10:$B$85,"T4306-03",Rashodi_detalji!$E$10:$E$85,"51038",Rashodi_detalji!$F$10:$F$85,"31321")</f>
        <v>7000</v>
      </c>
      <c r="E109" s="8" t="n">
        <f aca="false">SUMIFS(Rashodi_detalji!$M$10:$M$85,Rashodi_detalji!$B$10:$B$85,"T4306-03",Rashodi_detalji!$E$10:$E$85,"51038",Rashodi_detalji!$F$10:$F$85,"31321")</f>
        <v>7105</v>
      </c>
      <c r="F109" s="8" t="n">
        <f aca="false">SUMIFS(Rashodi_detalji!$N$10:$N$85,Rashodi_detalji!$B$10:$B$85,"T4306-03",Rashodi_detalji!$E$10:$E$85,"51038",Rashodi_detalji!$F$10:$F$85,"31321")</f>
        <v>7211.57</v>
      </c>
    </row>
    <row r="110" customFormat="false" ht="15" hidden="false" customHeight="false" outlineLevel="0" collapsed="false">
      <c r="A110" s="24" t="s">
        <v>380</v>
      </c>
      <c r="B110" s="24" t="s">
        <v>381</v>
      </c>
      <c r="C110" s="25" t="s">
        <v>234</v>
      </c>
      <c r="D110" s="26" t="n">
        <f aca="false">SUMIFS(Rashodi_detalji!$L$10:$L$85,Rashodi_detalji!$B$10:$B$85,"T4306-03",Rashodi_detalji!$E$10:$E$85,"540099")</f>
        <v>36500</v>
      </c>
      <c r="E110" s="26" t="n">
        <f aca="false">SUMIFS(Rashodi_detalji!$M$10:$M$85,Rashodi_detalji!$B$10:$B$85,"T4306-03",Rashodi_detalji!$E$10:$E$85,"540099")</f>
        <v>37047.5</v>
      </c>
      <c r="F110" s="26" t="n">
        <f aca="false">SUMIFS(Rashodi_detalji!$N$10:$N$85,Rashodi_detalji!$B$10:$B$85,"T4306-03",Rashodi_detalji!$E$10:$E$85,"540099")</f>
        <v>37603.21</v>
      </c>
    </row>
    <row r="111" customFormat="false" ht="15" hidden="false" customHeight="false" outlineLevel="0" collapsed="false">
      <c r="A111" s="6" t="s">
        <v>307</v>
      </c>
      <c r="B111" s="6" t="s">
        <v>93</v>
      </c>
      <c r="C111" s="7" t="s">
        <v>234</v>
      </c>
      <c r="D111" s="8" t="n">
        <f aca="false">SUMIFS(Rashodi_detalji!$L$10:$L$85,Rashodi_detalji!$B$10:$B$85,"T4306-03",Rashodi_detalji!$E$10:$E$85,"540099",Rashodi_detalji!$F$10:$F$85,"31111")</f>
        <v>17500</v>
      </c>
      <c r="E111" s="8" t="n">
        <f aca="false">SUMIFS(Rashodi_detalji!$M$10:$M$85,Rashodi_detalji!$B$10:$B$85,"T4306-03",Rashodi_detalji!$E$10:$E$85,"540099",Rashodi_detalji!$F$10:$F$85,"31111")</f>
        <v>17762.5</v>
      </c>
      <c r="F111" s="8" t="n">
        <f aca="false">SUMIFS(Rashodi_detalji!$N$10:$N$85,Rashodi_detalji!$B$10:$B$85,"T4306-03",Rashodi_detalji!$E$10:$E$85,"540099",Rashodi_detalji!$F$10:$F$85,"31111")</f>
        <v>18028.94</v>
      </c>
    </row>
    <row r="112" customFormat="false" ht="15" hidden="false" customHeight="false" outlineLevel="0" collapsed="false">
      <c r="A112" s="6" t="s">
        <v>340</v>
      </c>
      <c r="B112" s="6" t="s">
        <v>341</v>
      </c>
      <c r="C112" s="7" t="s">
        <v>234</v>
      </c>
      <c r="D112" s="8" t="n">
        <f aca="false">SUMIFS(Rashodi_detalji!$L$10:$L$85,Rashodi_detalji!$B$10:$B$85,"T4306-03",Rashodi_detalji!$E$10:$E$85,"540099",Rashodi_detalji!$F$10:$F$85,"31219")</f>
        <v>17000</v>
      </c>
      <c r="E112" s="8" t="n">
        <f aca="false">SUMIFS(Rashodi_detalji!$M$10:$M$85,Rashodi_detalji!$B$10:$B$85,"T4306-03",Rashodi_detalji!$E$10:$E$85,"540099",Rashodi_detalji!$F$10:$F$85,"31219")</f>
        <v>17255</v>
      </c>
      <c r="F112" s="8" t="n">
        <f aca="false">SUMIFS(Rashodi_detalji!$N$10:$N$85,Rashodi_detalji!$B$10:$B$85,"T4306-03",Rashodi_detalji!$E$10:$E$85,"540099",Rashodi_detalji!$F$10:$F$85,"31219")</f>
        <v>17513.82</v>
      </c>
    </row>
    <row r="113" customFormat="false" ht="15" hidden="false" customHeight="false" outlineLevel="0" collapsed="false">
      <c r="A113" s="6" t="s">
        <v>308</v>
      </c>
      <c r="B113" s="6" t="s">
        <v>309</v>
      </c>
      <c r="C113" s="7" t="s">
        <v>234</v>
      </c>
      <c r="D113" s="8" t="n">
        <f aca="false">SUMIFS(Rashodi_detalji!$L$10:$L$85,Rashodi_detalji!$B$10:$B$85,"T4306-03",Rashodi_detalji!$E$10:$E$85,"540099",Rashodi_detalji!$F$10:$F$85,"31321")</f>
        <v>2000</v>
      </c>
      <c r="E113" s="8" t="n">
        <f aca="false">SUMIFS(Rashodi_detalji!$M$10:$M$85,Rashodi_detalji!$B$10:$B$85,"T4306-03",Rashodi_detalji!$E$10:$E$85,"540099",Rashodi_detalji!$F$10:$F$85,"31321")</f>
        <v>2030</v>
      </c>
      <c r="F113" s="8" t="n">
        <f aca="false">SUMIFS(Rashodi_detalji!$N$10:$N$85,Rashodi_detalji!$B$10:$B$85,"T4306-03",Rashodi_detalji!$E$10:$E$85,"540099",Rashodi_detalji!$F$10:$F$85,"31321")</f>
        <v>2060.45</v>
      </c>
    </row>
  </sheetData>
  <mergeCells count="2">
    <mergeCell ref="A6:F6"/>
    <mergeCell ref="A7:F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8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1" ySplit="9" topLeftCell="L10" activePane="bottomRight" state="frozen"/>
      <selection pane="topLeft" activeCell="A1" activeCellId="0" sqref="A1"/>
      <selection pane="topRight" activeCell="L1" activeCellId="0" sqref="L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1"/>
    <col collapsed="false" customWidth="true" hidden="false" outlineLevel="0" max="4" min="3" style="0" width="8"/>
    <col collapsed="false" customWidth="true" hidden="false" outlineLevel="0" max="6" min="5" style="0" width="9"/>
    <col collapsed="false" customWidth="true" hidden="false" outlineLevel="0" max="8" min="7" style="0" width="6"/>
    <col collapsed="false" customWidth="true" hidden="false" outlineLevel="0" max="9" min="9" style="0" width="7"/>
    <col collapsed="false" customWidth="true" hidden="false" outlineLevel="0" max="10" min="10" style="0" width="8"/>
    <col collapsed="false" customWidth="true" hidden="false" outlineLevel="0" max="11" min="11" style="0" width="46"/>
    <col collapsed="false" customWidth="true" hidden="false" outlineLevel="0" max="14" min="12" style="0" width="15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382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customFormat="false" ht="15" hidden="false" customHeight="false" outlineLevel="0" collapsed="false">
      <c r="A7" s="4" t="s">
        <v>383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9" customFormat="false" ht="30" hidden="false" customHeight="true" outlineLevel="0" collapsed="false">
      <c r="A9" s="5" t="s">
        <v>384</v>
      </c>
      <c r="B9" s="5" t="s">
        <v>385</v>
      </c>
      <c r="C9" s="5" t="s">
        <v>241</v>
      </c>
      <c r="D9" s="5" t="s">
        <v>386</v>
      </c>
      <c r="E9" s="5" t="s">
        <v>199</v>
      </c>
      <c r="F9" s="5" t="s">
        <v>46</v>
      </c>
      <c r="G9" s="5" t="s">
        <v>387</v>
      </c>
      <c r="H9" s="5" t="s">
        <v>388</v>
      </c>
      <c r="I9" s="5" t="s">
        <v>389</v>
      </c>
      <c r="J9" s="5" t="s">
        <v>390</v>
      </c>
      <c r="K9" s="5" t="s">
        <v>7</v>
      </c>
      <c r="L9" s="5" t="s">
        <v>8</v>
      </c>
      <c r="M9" s="5" t="s">
        <v>9</v>
      </c>
      <c r="N9" s="5" t="s">
        <v>10</v>
      </c>
    </row>
    <row r="10" customFormat="false" ht="15" hidden="false" customHeight="false" outlineLevel="0" collapsed="false">
      <c r="A10" s="6" t="s">
        <v>391</v>
      </c>
      <c r="B10" s="6" t="s">
        <v>253</v>
      </c>
      <c r="C10" s="6" t="s">
        <v>244</v>
      </c>
      <c r="D10" s="6" t="s">
        <v>191</v>
      </c>
      <c r="E10" s="6" t="s">
        <v>193</v>
      </c>
      <c r="F10" s="6" t="s">
        <v>257</v>
      </c>
      <c r="G10" s="6" t="str">
        <f aca="false">LEFT(F10,1)</f>
        <v>3</v>
      </c>
      <c r="H10" s="6" t="str">
        <f aca="false">LEFT(F10,2)</f>
        <v>32</v>
      </c>
      <c r="I10" s="6" t="str">
        <f aca="false">LEFT(F10,3)</f>
        <v>321</v>
      </c>
      <c r="J10" s="6" t="str">
        <f aca="false">LEFT(F10,4)</f>
        <v>3211</v>
      </c>
      <c r="K10" s="7" t="s">
        <v>258</v>
      </c>
      <c r="L10" s="27" t="n">
        <v>3500</v>
      </c>
      <c r="M10" s="27" t="n">
        <v>3552.5</v>
      </c>
      <c r="N10" s="27" t="n">
        <v>3605</v>
      </c>
    </row>
    <row r="11" customFormat="false" ht="15" hidden="false" customHeight="false" outlineLevel="0" collapsed="false">
      <c r="A11" s="6" t="s">
        <v>391</v>
      </c>
      <c r="B11" s="6" t="s">
        <v>253</v>
      </c>
      <c r="C11" s="6" t="s">
        <v>244</v>
      </c>
      <c r="D11" s="6" t="s">
        <v>191</v>
      </c>
      <c r="E11" s="6" t="s">
        <v>193</v>
      </c>
      <c r="F11" s="6" t="s">
        <v>259</v>
      </c>
      <c r="G11" s="6" t="str">
        <f aca="false">LEFT(F11,1)</f>
        <v>3</v>
      </c>
      <c r="H11" s="6" t="str">
        <f aca="false">LEFT(F11,2)</f>
        <v>32</v>
      </c>
      <c r="I11" s="6" t="str">
        <f aca="false">LEFT(F11,3)</f>
        <v>321</v>
      </c>
      <c r="J11" s="6" t="str">
        <f aca="false">LEFT(F11,4)</f>
        <v>3213</v>
      </c>
      <c r="K11" s="7" t="s">
        <v>260</v>
      </c>
      <c r="L11" s="27" t="n">
        <v>1500</v>
      </c>
      <c r="M11" s="27" t="n">
        <v>1522.5</v>
      </c>
      <c r="N11" s="27" t="n">
        <v>1545</v>
      </c>
    </row>
    <row r="12" customFormat="false" ht="15" hidden="false" customHeight="false" outlineLevel="0" collapsed="false">
      <c r="A12" s="6" t="s">
        <v>391</v>
      </c>
      <c r="B12" s="6" t="s">
        <v>253</v>
      </c>
      <c r="C12" s="6" t="s">
        <v>244</v>
      </c>
      <c r="D12" s="6" t="s">
        <v>191</v>
      </c>
      <c r="E12" s="6" t="s">
        <v>193</v>
      </c>
      <c r="F12" s="6" t="s">
        <v>261</v>
      </c>
      <c r="G12" s="6" t="str">
        <f aca="false">LEFT(F12,1)</f>
        <v>3</v>
      </c>
      <c r="H12" s="6" t="str">
        <f aca="false">LEFT(F12,2)</f>
        <v>32</v>
      </c>
      <c r="I12" s="6" t="str">
        <f aca="false">LEFT(F12,3)</f>
        <v>321</v>
      </c>
      <c r="J12" s="6" t="str">
        <f aca="false">LEFT(F12,4)</f>
        <v>3214</v>
      </c>
      <c r="K12" s="7" t="s">
        <v>112</v>
      </c>
      <c r="L12" s="27" t="n">
        <v>1000</v>
      </c>
      <c r="M12" s="27" t="n">
        <v>1015</v>
      </c>
      <c r="N12" s="27" t="n">
        <v>1030</v>
      </c>
    </row>
    <row r="13" customFormat="false" ht="15" hidden="false" customHeight="false" outlineLevel="0" collapsed="false">
      <c r="A13" s="6" t="s">
        <v>391</v>
      </c>
      <c r="B13" s="6" t="s">
        <v>253</v>
      </c>
      <c r="C13" s="6" t="s">
        <v>244</v>
      </c>
      <c r="D13" s="6" t="s">
        <v>191</v>
      </c>
      <c r="E13" s="6" t="s">
        <v>193</v>
      </c>
      <c r="F13" s="6" t="s">
        <v>262</v>
      </c>
      <c r="G13" s="6" t="str">
        <f aca="false">LEFT(F13,1)</f>
        <v>3</v>
      </c>
      <c r="H13" s="6" t="str">
        <f aca="false">LEFT(F13,2)</f>
        <v>32</v>
      </c>
      <c r="I13" s="6" t="str">
        <f aca="false">LEFT(F13,3)</f>
        <v>322</v>
      </c>
      <c r="J13" s="6" t="str">
        <f aca="false">LEFT(F13,4)</f>
        <v>3221</v>
      </c>
      <c r="K13" s="7" t="s">
        <v>263</v>
      </c>
      <c r="L13" s="27" t="n">
        <v>7500</v>
      </c>
      <c r="M13" s="27" t="n">
        <v>7612.5</v>
      </c>
      <c r="N13" s="27" t="n">
        <v>7725</v>
      </c>
    </row>
    <row r="14" customFormat="false" ht="15" hidden="false" customHeight="false" outlineLevel="0" collapsed="false">
      <c r="A14" s="6" t="s">
        <v>391</v>
      </c>
      <c r="B14" s="6" t="s">
        <v>253</v>
      </c>
      <c r="C14" s="6" t="s">
        <v>244</v>
      </c>
      <c r="D14" s="6" t="s">
        <v>191</v>
      </c>
      <c r="E14" s="6" t="s">
        <v>193</v>
      </c>
      <c r="F14" s="6" t="s">
        <v>264</v>
      </c>
      <c r="G14" s="6" t="str">
        <f aca="false">LEFT(F14,1)</f>
        <v>3</v>
      </c>
      <c r="H14" s="6" t="str">
        <f aca="false">LEFT(F14,2)</f>
        <v>32</v>
      </c>
      <c r="I14" s="6" t="str">
        <f aca="false">LEFT(F14,3)</f>
        <v>322</v>
      </c>
      <c r="J14" s="6" t="str">
        <f aca="false">LEFT(F14,4)</f>
        <v>3222</v>
      </c>
      <c r="K14" s="7" t="s">
        <v>265</v>
      </c>
      <c r="L14" s="27" t="n">
        <v>2000</v>
      </c>
      <c r="M14" s="27" t="n">
        <v>2030</v>
      </c>
      <c r="N14" s="27" t="n">
        <v>2060</v>
      </c>
    </row>
    <row r="15" customFormat="false" ht="15" hidden="false" customHeight="false" outlineLevel="0" collapsed="false">
      <c r="A15" s="6" t="s">
        <v>391</v>
      </c>
      <c r="B15" s="6" t="s">
        <v>253</v>
      </c>
      <c r="C15" s="6" t="s">
        <v>244</v>
      </c>
      <c r="D15" s="6" t="s">
        <v>191</v>
      </c>
      <c r="E15" s="6" t="s">
        <v>193</v>
      </c>
      <c r="F15" s="6" t="s">
        <v>266</v>
      </c>
      <c r="G15" s="6" t="str">
        <f aca="false">LEFT(F15,1)</f>
        <v>3</v>
      </c>
      <c r="H15" s="6" t="str">
        <f aca="false">LEFT(F15,2)</f>
        <v>32</v>
      </c>
      <c r="I15" s="6" t="str">
        <f aca="false">LEFT(F15,3)</f>
        <v>322</v>
      </c>
      <c r="J15" s="6" t="str">
        <f aca="false">LEFT(F15,4)</f>
        <v>3223</v>
      </c>
      <c r="K15" s="7" t="s">
        <v>267</v>
      </c>
      <c r="L15" s="27" t="n">
        <v>21000</v>
      </c>
      <c r="M15" s="27" t="n">
        <v>21315</v>
      </c>
      <c r="N15" s="27" t="n">
        <v>21630</v>
      </c>
    </row>
    <row r="16" customFormat="false" ht="15" hidden="false" customHeight="false" outlineLevel="0" collapsed="false">
      <c r="A16" s="6" t="s">
        <v>391</v>
      </c>
      <c r="B16" s="6" t="s">
        <v>253</v>
      </c>
      <c r="C16" s="6" t="s">
        <v>244</v>
      </c>
      <c r="D16" s="6" t="s">
        <v>191</v>
      </c>
      <c r="E16" s="6" t="s">
        <v>193</v>
      </c>
      <c r="F16" s="6" t="s">
        <v>268</v>
      </c>
      <c r="G16" s="6" t="str">
        <f aca="false">LEFT(F16,1)</f>
        <v>3</v>
      </c>
      <c r="H16" s="6" t="str">
        <f aca="false">LEFT(F16,2)</f>
        <v>32</v>
      </c>
      <c r="I16" s="6" t="str">
        <f aca="false">LEFT(F16,3)</f>
        <v>322</v>
      </c>
      <c r="J16" s="6" t="str">
        <f aca="false">LEFT(F16,4)</f>
        <v>3223</v>
      </c>
      <c r="K16" s="7" t="s">
        <v>269</v>
      </c>
      <c r="L16" s="27" t="n">
        <v>42764.95</v>
      </c>
      <c r="M16" s="27" t="n">
        <v>43406.42</v>
      </c>
      <c r="N16" s="27" t="n">
        <v>44047.9</v>
      </c>
    </row>
    <row r="17" customFormat="false" ht="15" hidden="false" customHeight="false" outlineLevel="0" collapsed="false">
      <c r="A17" s="6" t="s">
        <v>391</v>
      </c>
      <c r="B17" s="6" t="s">
        <v>253</v>
      </c>
      <c r="C17" s="6" t="s">
        <v>244</v>
      </c>
      <c r="D17" s="6" t="s">
        <v>191</v>
      </c>
      <c r="E17" s="6" t="s">
        <v>193</v>
      </c>
      <c r="F17" s="6" t="s">
        <v>270</v>
      </c>
      <c r="G17" s="6" t="str">
        <f aca="false">LEFT(F17,1)</f>
        <v>3</v>
      </c>
      <c r="H17" s="6" t="str">
        <f aca="false">LEFT(F17,2)</f>
        <v>32</v>
      </c>
      <c r="I17" s="6" t="str">
        <f aca="false">LEFT(F17,3)</f>
        <v>322</v>
      </c>
      <c r="J17" s="6" t="str">
        <f aca="false">LEFT(F17,4)</f>
        <v>3223</v>
      </c>
      <c r="K17" s="7" t="s">
        <v>271</v>
      </c>
      <c r="L17" s="27" t="n">
        <v>1000</v>
      </c>
      <c r="M17" s="27" t="n">
        <v>1015</v>
      </c>
      <c r="N17" s="27" t="n">
        <v>1030</v>
      </c>
    </row>
    <row r="18" customFormat="false" ht="23.85" hidden="false" customHeight="false" outlineLevel="0" collapsed="false">
      <c r="A18" s="6" t="s">
        <v>391</v>
      </c>
      <c r="B18" s="6" t="s">
        <v>253</v>
      </c>
      <c r="C18" s="6" t="s">
        <v>244</v>
      </c>
      <c r="D18" s="6" t="s">
        <v>191</v>
      </c>
      <c r="E18" s="6" t="s">
        <v>193</v>
      </c>
      <c r="F18" s="6" t="s">
        <v>272</v>
      </c>
      <c r="G18" s="6" t="str">
        <f aca="false">LEFT(F18,1)</f>
        <v>3</v>
      </c>
      <c r="H18" s="6" t="str">
        <f aca="false">LEFT(F18,2)</f>
        <v>32</v>
      </c>
      <c r="I18" s="6" t="str">
        <f aca="false">LEFT(F18,3)</f>
        <v>322</v>
      </c>
      <c r="J18" s="6" t="str">
        <f aca="false">LEFT(F18,4)</f>
        <v>3224</v>
      </c>
      <c r="K18" s="7" t="s">
        <v>273</v>
      </c>
      <c r="L18" s="27" t="n">
        <v>3000</v>
      </c>
      <c r="M18" s="27" t="n">
        <v>3045</v>
      </c>
      <c r="N18" s="27" t="n">
        <v>3090</v>
      </c>
    </row>
    <row r="19" customFormat="false" ht="15" hidden="false" customHeight="false" outlineLevel="0" collapsed="false">
      <c r="A19" s="6" t="s">
        <v>391</v>
      </c>
      <c r="B19" s="6" t="s">
        <v>253</v>
      </c>
      <c r="C19" s="6" t="s">
        <v>244</v>
      </c>
      <c r="D19" s="6" t="s">
        <v>191</v>
      </c>
      <c r="E19" s="6" t="s">
        <v>193</v>
      </c>
      <c r="F19" s="6" t="s">
        <v>274</v>
      </c>
      <c r="G19" s="6" t="str">
        <f aca="false">LEFT(F19,1)</f>
        <v>3</v>
      </c>
      <c r="H19" s="6" t="str">
        <f aca="false">LEFT(F19,2)</f>
        <v>32</v>
      </c>
      <c r="I19" s="6" t="str">
        <f aca="false">LEFT(F19,3)</f>
        <v>322</v>
      </c>
      <c r="J19" s="6" t="str">
        <f aca="false">LEFT(F19,4)</f>
        <v>3225</v>
      </c>
      <c r="K19" s="7" t="s">
        <v>275</v>
      </c>
      <c r="L19" s="27" t="n">
        <v>500</v>
      </c>
      <c r="M19" s="27" t="n">
        <v>507.5</v>
      </c>
      <c r="N19" s="27" t="n">
        <v>515</v>
      </c>
    </row>
    <row r="20" customFormat="false" ht="15" hidden="false" customHeight="false" outlineLevel="0" collapsed="false">
      <c r="A20" s="6" t="s">
        <v>391</v>
      </c>
      <c r="B20" s="6" t="s">
        <v>253</v>
      </c>
      <c r="C20" s="6" t="s">
        <v>244</v>
      </c>
      <c r="D20" s="6" t="s">
        <v>191</v>
      </c>
      <c r="E20" s="6" t="s">
        <v>193</v>
      </c>
      <c r="F20" s="6" t="s">
        <v>276</v>
      </c>
      <c r="G20" s="6" t="str">
        <f aca="false">LEFT(F20,1)</f>
        <v>3</v>
      </c>
      <c r="H20" s="6" t="str">
        <f aca="false">LEFT(F20,2)</f>
        <v>32</v>
      </c>
      <c r="I20" s="6" t="str">
        <f aca="false">LEFT(F20,3)</f>
        <v>322</v>
      </c>
      <c r="J20" s="6" t="str">
        <f aca="false">LEFT(F20,4)</f>
        <v>3227</v>
      </c>
      <c r="K20" s="7" t="s">
        <v>126</v>
      </c>
      <c r="L20" s="27" t="n">
        <v>1500</v>
      </c>
      <c r="M20" s="27" t="n">
        <v>1522.5</v>
      </c>
      <c r="N20" s="27" t="n">
        <v>1545</v>
      </c>
    </row>
    <row r="21" customFormat="false" ht="15" hidden="false" customHeight="false" outlineLevel="0" collapsed="false">
      <c r="A21" s="6" t="s">
        <v>391</v>
      </c>
      <c r="B21" s="6" t="s">
        <v>253</v>
      </c>
      <c r="C21" s="6" t="s">
        <v>244</v>
      </c>
      <c r="D21" s="6" t="s">
        <v>191</v>
      </c>
      <c r="E21" s="6" t="s">
        <v>193</v>
      </c>
      <c r="F21" s="6" t="s">
        <v>277</v>
      </c>
      <c r="G21" s="6" t="str">
        <f aca="false">LEFT(F21,1)</f>
        <v>3</v>
      </c>
      <c r="H21" s="6" t="str">
        <f aca="false">LEFT(F21,2)</f>
        <v>32</v>
      </c>
      <c r="I21" s="6" t="str">
        <f aca="false">LEFT(F21,3)</f>
        <v>323</v>
      </c>
      <c r="J21" s="6" t="str">
        <f aca="false">LEFT(F21,4)</f>
        <v>3231</v>
      </c>
      <c r="K21" s="7" t="s">
        <v>278</v>
      </c>
      <c r="L21" s="27" t="n">
        <v>2200</v>
      </c>
      <c r="M21" s="27" t="n">
        <v>2233</v>
      </c>
      <c r="N21" s="27" t="n">
        <v>2266</v>
      </c>
    </row>
    <row r="22" customFormat="false" ht="15" hidden="false" customHeight="false" outlineLevel="0" collapsed="false">
      <c r="A22" s="6" t="s">
        <v>391</v>
      </c>
      <c r="B22" s="6" t="s">
        <v>253</v>
      </c>
      <c r="C22" s="6" t="s">
        <v>244</v>
      </c>
      <c r="D22" s="6" t="s">
        <v>191</v>
      </c>
      <c r="E22" s="6" t="s">
        <v>193</v>
      </c>
      <c r="F22" s="6" t="s">
        <v>279</v>
      </c>
      <c r="G22" s="6" t="str">
        <f aca="false">LEFT(F22,1)</f>
        <v>3</v>
      </c>
      <c r="H22" s="6" t="str">
        <f aca="false">LEFT(F22,2)</f>
        <v>32</v>
      </c>
      <c r="I22" s="6" t="str">
        <f aca="false">LEFT(F22,3)</f>
        <v>323</v>
      </c>
      <c r="J22" s="6" t="str">
        <f aca="false">LEFT(F22,4)</f>
        <v>3232</v>
      </c>
      <c r="K22" s="7" t="s">
        <v>280</v>
      </c>
      <c r="L22" s="27" t="n">
        <v>6996.05</v>
      </c>
      <c r="M22" s="27" t="n">
        <v>7100.99</v>
      </c>
      <c r="N22" s="27" t="n">
        <v>7205.93</v>
      </c>
    </row>
    <row r="23" customFormat="false" ht="15" hidden="false" customHeight="false" outlineLevel="0" collapsed="false">
      <c r="A23" s="6" t="s">
        <v>391</v>
      </c>
      <c r="B23" s="6" t="s">
        <v>253</v>
      </c>
      <c r="C23" s="6" t="s">
        <v>244</v>
      </c>
      <c r="D23" s="6" t="s">
        <v>191</v>
      </c>
      <c r="E23" s="6" t="s">
        <v>193</v>
      </c>
      <c r="F23" s="6" t="s">
        <v>281</v>
      </c>
      <c r="G23" s="6" t="str">
        <f aca="false">LEFT(F23,1)</f>
        <v>3</v>
      </c>
      <c r="H23" s="6" t="str">
        <f aca="false">LEFT(F23,2)</f>
        <v>32</v>
      </c>
      <c r="I23" s="6" t="str">
        <f aca="false">LEFT(F23,3)</f>
        <v>323</v>
      </c>
      <c r="J23" s="6" t="str">
        <f aca="false">LEFT(F23,4)</f>
        <v>3234</v>
      </c>
      <c r="K23" s="7" t="s">
        <v>282</v>
      </c>
      <c r="L23" s="27" t="n">
        <v>21000</v>
      </c>
      <c r="M23" s="27" t="n">
        <v>21315</v>
      </c>
      <c r="N23" s="27" t="n">
        <v>21630</v>
      </c>
    </row>
    <row r="24" customFormat="false" ht="15" hidden="false" customHeight="false" outlineLevel="0" collapsed="false">
      <c r="A24" s="6" t="s">
        <v>391</v>
      </c>
      <c r="B24" s="6" t="s">
        <v>253</v>
      </c>
      <c r="C24" s="6" t="s">
        <v>244</v>
      </c>
      <c r="D24" s="6" t="s">
        <v>191</v>
      </c>
      <c r="E24" s="6" t="s">
        <v>193</v>
      </c>
      <c r="F24" s="6" t="s">
        <v>283</v>
      </c>
      <c r="G24" s="6" t="str">
        <f aca="false">LEFT(F24,1)</f>
        <v>3</v>
      </c>
      <c r="H24" s="6" t="str">
        <f aca="false">LEFT(F24,2)</f>
        <v>32</v>
      </c>
      <c r="I24" s="6" t="str">
        <f aca="false">LEFT(F24,3)</f>
        <v>323</v>
      </c>
      <c r="J24" s="6" t="str">
        <f aca="false">LEFT(F24,4)</f>
        <v>3234</v>
      </c>
      <c r="K24" s="7" t="s">
        <v>284</v>
      </c>
      <c r="L24" s="27" t="n">
        <v>1000</v>
      </c>
      <c r="M24" s="27" t="n">
        <v>1015</v>
      </c>
      <c r="N24" s="27" t="n">
        <v>1030</v>
      </c>
    </row>
    <row r="25" customFormat="false" ht="15" hidden="false" customHeight="false" outlineLevel="0" collapsed="false">
      <c r="A25" s="6" t="s">
        <v>391</v>
      </c>
      <c r="B25" s="6" t="s">
        <v>253</v>
      </c>
      <c r="C25" s="6" t="s">
        <v>244</v>
      </c>
      <c r="D25" s="6" t="s">
        <v>191</v>
      </c>
      <c r="E25" s="6" t="s">
        <v>193</v>
      </c>
      <c r="F25" s="6" t="s">
        <v>285</v>
      </c>
      <c r="G25" s="6" t="str">
        <f aca="false">LEFT(F25,1)</f>
        <v>3</v>
      </c>
      <c r="H25" s="6" t="str">
        <f aca="false">LEFT(F25,2)</f>
        <v>32</v>
      </c>
      <c r="I25" s="6" t="str">
        <f aca="false">LEFT(F25,3)</f>
        <v>323</v>
      </c>
      <c r="J25" s="6" t="str">
        <f aca="false">LEFT(F25,4)</f>
        <v>3235</v>
      </c>
      <c r="K25" s="7" t="s">
        <v>286</v>
      </c>
      <c r="L25" s="27" t="n">
        <v>267700</v>
      </c>
      <c r="M25" s="27" t="n">
        <v>271715.5</v>
      </c>
      <c r="N25" s="27" t="n">
        <v>275731</v>
      </c>
    </row>
    <row r="26" customFormat="false" ht="15" hidden="false" customHeight="false" outlineLevel="0" collapsed="false">
      <c r="A26" s="6" t="s">
        <v>391</v>
      </c>
      <c r="B26" s="6" t="s">
        <v>253</v>
      </c>
      <c r="C26" s="6" t="s">
        <v>244</v>
      </c>
      <c r="D26" s="6" t="s">
        <v>191</v>
      </c>
      <c r="E26" s="6" t="s">
        <v>193</v>
      </c>
      <c r="F26" s="6" t="s">
        <v>287</v>
      </c>
      <c r="G26" s="6" t="str">
        <f aca="false">LEFT(F26,1)</f>
        <v>3</v>
      </c>
      <c r="H26" s="6" t="str">
        <f aca="false">LEFT(F26,2)</f>
        <v>32</v>
      </c>
      <c r="I26" s="6" t="str">
        <f aca="false">LEFT(F26,3)</f>
        <v>323</v>
      </c>
      <c r="J26" s="6" t="str">
        <f aca="false">LEFT(F26,4)</f>
        <v>3235</v>
      </c>
      <c r="K26" s="7" t="s">
        <v>288</v>
      </c>
      <c r="L26" s="27" t="n">
        <v>2700</v>
      </c>
      <c r="M26" s="27" t="n">
        <v>2740.5</v>
      </c>
      <c r="N26" s="27" t="n">
        <v>2781</v>
      </c>
    </row>
    <row r="27" customFormat="false" ht="15" hidden="false" customHeight="false" outlineLevel="0" collapsed="false">
      <c r="A27" s="6" t="s">
        <v>391</v>
      </c>
      <c r="B27" s="6" t="s">
        <v>253</v>
      </c>
      <c r="C27" s="6" t="s">
        <v>244</v>
      </c>
      <c r="D27" s="6" t="s">
        <v>191</v>
      </c>
      <c r="E27" s="6" t="s">
        <v>193</v>
      </c>
      <c r="F27" s="6" t="s">
        <v>289</v>
      </c>
      <c r="G27" s="6" t="str">
        <f aca="false">LEFT(F27,1)</f>
        <v>3</v>
      </c>
      <c r="H27" s="6" t="str">
        <f aca="false">LEFT(F27,2)</f>
        <v>32</v>
      </c>
      <c r="I27" s="6" t="str">
        <f aca="false">LEFT(F27,3)</f>
        <v>323</v>
      </c>
      <c r="J27" s="6" t="str">
        <f aca="false">LEFT(F27,4)</f>
        <v>3236</v>
      </c>
      <c r="K27" s="7" t="s">
        <v>290</v>
      </c>
      <c r="L27" s="27" t="n">
        <v>7300</v>
      </c>
      <c r="M27" s="27" t="n">
        <v>7409.5</v>
      </c>
      <c r="N27" s="27" t="n">
        <v>7519</v>
      </c>
    </row>
    <row r="28" customFormat="false" ht="15" hidden="false" customHeight="false" outlineLevel="0" collapsed="false">
      <c r="A28" s="6" t="s">
        <v>391</v>
      </c>
      <c r="B28" s="6" t="s">
        <v>253</v>
      </c>
      <c r="C28" s="6" t="s">
        <v>244</v>
      </c>
      <c r="D28" s="6" t="s">
        <v>191</v>
      </c>
      <c r="E28" s="6" t="s">
        <v>193</v>
      </c>
      <c r="F28" s="6" t="s">
        <v>291</v>
      </c>
      <c r="G28" s="6" t="str">
        <f aca="false">LEFT(F28,1)</f>
        <v>3</v>
      </c>
      <c r="H28" s="6" t="str">
        <f aca="false">LEFT(F28,2)</f>
        <v>32</v>
      </c>
      <c r="I28" s="6" t="str">
        <f aca="false">LEFT(F28,3)</f>
        <v>323</v>
      </c>
      <c r="J28" s="6" t="str">
        <f aca="false">LEFT(F28,4)</f>
        <v>3237</v>
      </c>
      <c r="K28" s="7" t="s">
        <v>292</v>
      </c>
      <c r="L28" s="27" t="n">
        <v>2500</v>
      </c>
      <c r="M28" s="27" t="n">
        <v>2537.5</v>
      </c>
      <c r="N28" s="27" t="n">
        <v>2575</v>
      </c>
    </row>
    <row r="29" customFormat="false" ht="15" hidden="false" customHeight="false" outlineLevel="0" collapsed="false">
      <c r="A29" s="6" t="s">
        <v>391</v>
      </c>
      <c r="B29" s="6" t="s">
        <v>253</v>
      </c>
      <c r="C29" s="6" t="s">
        <v>244</v>
      </c>
      <c r="D29" s="6" t="s">
        <v>191</v>
      </c>
      <c r="E29" s="6" t="s">
        <v>193</v>
      </c>
      <c r="F29" s="6" t="s">
        <v>293</v>
      </c>
      <c r="G29" s="6" t="str">
        <f aca="false">LEFT(F29,1)</f>
        <v>3</v>
      </c>
      <c r="H29" s="6" t="str">
        <f aca="false">LEFT(F29,2)</f>
        <v>32</v>
      </c>
      <c r="I29" s="6" t="str">
        <f aca="false">LEFT(F29,3)</f>
        <v>323</v>
      </c>
      <c r="J29" s="6" t="str">
        <f aca="false">LEFT(F29,4)</f>
        <v>3238</v>
      </c>
      <c r="K29" s="7" t="s">
        <v>294</v>
      </c>
      <c r="L29" s="27" t="n">
        <v>5000</v>
      </c>
      <c r="M29" s="27" t="n">
        <v>5075</v>
      </c>
      <c r="N29" s="27" t="n">
        <v>5150</v>
      </c>
    </row>
    <row r="30" customFormat="false" ht="15" hidden="false" customHeight="false" outlineLevel="0" collapsed="false">
      <c r="A30" s="6" t="s">
        <v>391</v>
      </c>
      <c r="B30" s="6" t="s">
        <v>253</v>
      </c>
      <c r="C30" s="6" t="s">
        <v>244</v>
      </c>
      <c r="D30" s="6" t="s">
        <v>191</v>
      </c>
      <c r="E30" s="6" t="s">
        <v>193</v>
      </c>
      <c r="F30" s="6" t="s">
        <v>295</v>
      </c>
      <c r="G30" s="6" t="str">
        <f aca="false">LEFT(F30,1)</f>
        <v>3</v>
      </c>
      <c r="H30" s="6" t="str">
        <f aca="false">LEFT(F30,2)</f>
        <v>32</v>
      </c>
      <c r="I30" s="6" t="str">
        <f aca="false">LEFT(F30,3)</f>
        <v>329</v>
      </c>
      <c r="J30" s="6" t="str">
        <f aca="false">LEFT(F30,4)</f>
        <v>3292</v>
      </c>
      <c r="K30" s="7" t="s">
        <v>296</v>
      </c>
      <c r="L30" s="27" t="n">
        <v>2000</v>
      </c>
      <c r="M30" s="27" t="n">
        <v>2030</v>
      </c>
      <c r="N30" s="27" t="n">
        <v>2060</v>
      </c>
    </row>
    <row r="31" customFormat="false" ht="15" hidden="false" customHeight="false" outlineLevel="0" collapsed="false">
      <c r="A31" s="6" t="s">
        <v>391</v>
      </c>
      <c r="B31" s="6" t="s">
        <v>253</v>
      </c>
      <c r="C31" s="6" t="s">
        <v>244</v>
      </c>
      <c r="D31" s="6" t="s">
        <v>191</v>
      </c>
      <c r="E31" s="6" t="s">
        <v>193</v>
      </c>
      <c r="F31" s="6" t="s">
        <v>297</v>
      </c>
      <c r="G31" s="6" t="str">
        <f aca="false">LEFT(F31,1)</f>
        <v>3</v>
      </c>
      <c r="H31" s="6" t="str">
        <f aca="false">LEFT(F31,2)</f>
        <v>32</v>
      </c>
      <c r="I31" s="6" t="str">
        <f aca="false">LEFT(F31,3)</f>
        <v>329</v>
      </c>
      <c r="J31" s="6" t="str">
        <f aca="false">LEFT(F31,4)</f>
        <v>3294</v>
      </c>
      <c r="K31" s="7" t="s">
        <v>298</v>
      </c>
      <c r="L31" s="27" t="n">
        <v>600</v>
      </c>
      <c r="M31" s="27" t="n">
        <v>609</v>
      </c>
      <c r="N31" s="27" t="n">
        <v>618</v>
      </c>
    </row>
    <row r="32" customFormat="false" ht="15" hidden="false" customHeight="false" outlineLevel="0" collapsed="false">
      <c r="A32" s="6" t="s">
        <v>391</v>
      </c>
      <c r="B32" s="6" t="s">
        <v>253</v>
      </c>
      <c r="C32" s="6" t="s">
        <v>244</v>
      </c>
      <c r="D32" s="6" t="s">
        <v>191</v>
      </c>
      <c r="E32" s="6" t="s">
        <v>193</v>
      </c>
      <c r="F32" s="6" t="s">
        <v>299</v>
      </c>
      <c r="G32" s="6" t="str">
        <f aca="false">LEFT(F32,1)</f>
        <v>3</v>
      </c>
      <c r="H32" s="6" t="str">
        <f aca="false">LEFT(F32,2)</f>
        <v>32</v>
      </c>
      <c r="I32" s="6" t="str">
        <f aca="false">LEFT(F32,3)</f>
        <v>329</v>
      </c>
      <c r="J32" s="6" t="str">
        <f aca="false">LEFT(F32,4)</f>
        <v>3295</v>
      </c>
      <c r="K32" s="7" t="s">
        <v>300</v>
      </c>
      <c r="L32" s="27" t="n">
        <v>0</v>
      </c>
      <c r="M32" s="27" t="n">
        <v>0</v>
      </c>
      <c r="N32" s="27" t="n">
        <v>0</v>
      </c>
    </row>
    <row r="33" customFormat="false" ht="15" hidden="false" customHeight="false" outlineLevel="0" collapsed="false">
      <c r="A33" s="6" t="s">
        <v>391</v>
      </c>
      <c r="B33" s="6" t="s">
        <v>253</v>
      </c>
      <c r="C33" s="6" t="s">
        <v>244</v>
      </c>
      <c r="D33" s="6" t="s">
        <v>191</v>
      </c>
      <c r="E33" s="6" t="s">
        <v>193</v>
      </c>
      <c r="F33" s="6" t="s">
        <v>301</v>
      </c>
      <c r="G33" s="6" t="str">
        <f aca="false">LEFT(F33,1)</f>
        <v>3</v>
      </c>
      <c r="H33" s="6" t="str">
        <f aca="false">LEFT(F33,2)</f>
        <v>34</v>
      </c>
      <c r="I33" s="6" t="str">
        <f aca="false">LEFT(F33,3)</f>
        <v>343</v>
      </c>
      <c r="J33" s="6" t="str">
        <f aca="false">LEFT(F33,4)</f>
        <v>3431</v>
      </c>
      <c r="K33" s="7" t="s">
        <v>302</v>
      </c>
      <c r="L33" s="27" t="n">
        <v>900</v>
      </c>
      <c r="M33" s="27" t="n">
        <v>913.5</v>
      </c>
      <c r="N33" s="27" t="n">
        <v>927</v>
      </c>
    </row>
    <row r="34" customFormat="false" ht="15" hidden="false" customHeight="false" outlineLevel="0" collapsed="false">
      <c r="A34" s="6" t="s">
        <v>391</v>
      </c>
      <c r="B34" s="6" t="s">
        <v>303</v>
      </c>
      <c r="C34" s="6" t="s">
        <v>244</v>
      </c>
      <c r="D34" s="6" t="s">
        <v>215</v>
      </c>
      <c r="E34" s="6" t="s">
        <v>221</v>
      </c>
      <c r="F34" s="6" t="s">
        <v>307</v>
      </c>
      <c r="G34" s="6" t="str">
        <f aca="false">LEFT(F34,1)</f>
        <v>3</v>
      </c>
      <c r="H34" s="6" t="str">
        <f aca="false">LEFT(F34,2)</f>
        <v>31</v>
      </c>
      <c r="I34" s="6" t="str">
        <f aca="false">LEFT(F34,3)</f>
        <v>311</v>
      </c>
      <c r="J34" s="6" t="str">
        <f aca="false">LEFT(F34,4)</f>
        <v>3111</v>
      </c>
      <c r="K34" s="7" t="s">
        <v>93</v>
      </c>
      <c r="L34" s="27" t="n">
        <v>1935000</v>
      </c>
      <c r="M34" s="27" t="n">
        <v>1964025</v>
      </c>
      <c r="N34" s="27" t="n">
        <v>1993485.37</v>
      </c>
    </row>
    <row r="35" customFormat="false" ht="15" hidden="false" customHeight="false" outlineLevel="0" collapsed="false">
      <c r="A35" s="6" t="s">
        <v>391</v>
      </c>
      <c r="B35" s="6" t="s">
        <v>303</v>
      </c>
      <c r="C35" s="6" t="s">
        <v>244</v>
      </c>
      <c r="D35" s="6" t="s">
        <v>215</v>
      </c>
      <c r="E35" s="6" t="s">
        <v>221</v>
      </c>
      <c r="F35" s="6" t="s">
        <v>96</v>
      </c>
      <c r="G35" s="6" t="str">
        <f aca="false">LEFT(F35,1)</f>
        <v>3</v>
      </c>
      <c r="H35" s="6" t="str">
        <f aca="false">LEFT(F35,2)</f>
        <v>31</v>
      </c>
      <c r="I35" s="6" t="str">
        <f aca="false">LEFT(F35,3)</f>
        <v>312</v>
      </c>
      <c r="J35" s="6" t="str">
        <f aca="false">LEFT(F35,4)</f>
        <v>3121</v>
      </c>
      <c r="K35" s="7" t="s">
        <v>95</v>
      </c>
      <c r="L35" s="27" t="n">
        <v>87000</v>
      </c>
      <c r="M35" s="27" t="n">
        <v>88305</v>
      </c>
      <c r="N35" s="27" t="n">
        <v>89629.57</v>
      </c>
    </row>
    <row r="36" customFormat="false" ht="15" hidden="false" customHeight="false" outlineLevel="0" collapsed="false">
      <c r="A36" s="6" t="s">
        <v>391</v>
      </c>
      <c r="B36" s="6" t="s">
        <v>303</v>
      </c>
      <c r="C36" s="6" t="s">
        <v>244</v>
      </c>
      <c r="D36" s="6" t="s">
        <v>215</v>
      </c>
      <c r="E36" s="6" t="s">
        <v>221</v>
      </c>
      <c r="F36" s="6" t="s">
        <v>308</v>
      </c>
      <c r="G36" s="6" t="str">
        <f aca="false">LEFT(F36,1)</f>
        <v>3</v>
      </c>
      <c r="H36" s="6" t="str">
        <f aca="false">LEFT(F36,2)</f>
        <v>31</v>
      </c>
      <c r="I36" s="6" t="str">
        <f aca="false">LEFT(F36,3)</f>
        <v>313</v>
      </c>
      <c r="J36" s="6" t="str">
        <f aca="false">LEFT(F36,4)</f>
        <v>3132</v>
      </c>
      <c r="K36" s="7" t="s">
        <v>309</v>
      </c>
      <c r="L36" s="27" t="n">
        <v>320000</v>
      </c>
      <c r="M36" s="27" t="n">
        <v>324800</v>
      </c>
      <c r="N36" s="27" t="n">
        <v>329672</v>
      </c>
    </row>
    <row r="37" customFormat="false" ht="15" hidden="false" customHeight="false" outlineLevel="0" collapsed="false">
      <c r="A37" s="6" t="s">
        <v>391</v>
      </c>
      <c r="B37" s="6" t="s">
        <v>303</v>
      </c>
      <c r="C37" s="6" t="s">
        <v>244</v>
      </c>
      <c r="D37" s="6" t="s">
        <v>215</v>
      </c>
      <c r="E37" s="6" t="s">
        <v>221</v>
      </c>
      <c r="F37" s="6" t="s">
        <v>310</v>
      </c>
      <c r="G37" s="6" t="str">
        <f aca="false">LEFT(F37,1)</f>
        <v>3</v>
      </c>
      <c r="H37" s="6" t="str">
        <f aca="false">LEFT(F37,2)</f>
        <v>32</v>
      </c>
      <c r="I37" s="6" t="str">
        <f aca="false">LEFT(F37,3)</f>
        <v>321</v>
      </c>
      <c r="J37" s="6" t="str">
        <f aca="false">LEFT(F37,4)</f>
        <v>3212</v>
      </c>
      <c r="K37" s="7" t="s">
        <v>311</v>
      </c>
      <c r="L37" s="27" t="n">
        <v>150000</v>
      </c>
      <c r="M37" s="27" t="n">
        <v>152250</v>
      </c>
      <c r="N37" s="27" t="n">
        <v>154533.75</v>
      </c>
    </row>
    <row r="38" customFormat="false" ht="23.85" hidden="false" customHeight="false" outlineLevel="0" collapsed="false">
      <c r="A38" s="6" t="s">
        <v>391</v>
      </c>
      <c r="B38" s="6" t="s">
        <v>303</v>
      </c>
      <c r="C38" s="6" t="s">
        <v>244</v>
      </c>
      <c r="D38" s="6" t="s">
        <v>215</v>
      </c>
      <c r="E38" s="6" t="s">
        <v>221</v>
      </c>
      <c r="F38" s="6" t="s">
        <v>312</v>
      </c>
      <c r="G38" s="6" t="str">
        <f aca="false">LEFT(F38,1)</f>
        <v>3</v>
      </c>
      <c r="H38" s="6" t="str">
        <f aca="false">LEFT(F38,2)</f>
        <v>32</v>
      </c>
      <c r="I38" s="6" t="str">
        <f aca="false">LEFT(F38,3)</f>
        <v>329</v>
      </c>
      <c r="J38" s="6" t="str">
        <f aca="false">LEFT(F38,4)</f>
        <v>3295</v>
      </c>
      <c r="K38" s="7" t="s">
        <v>313</v>
      </c>
      <c r="L38" s="27" t="n">
        <v>6500</v>
      </c>
      <c r="M38" s="27" t="n">
        <v>6597.5</v>
      </c>
      <c r="N38" s="27" t="n">
        <v>6696.46</v>
      </c>
    </row>
    <row r="39" customFormat="false" ht="15" hidden="false" customHeight="false" outlineLevel="0" collapsed="false">
      <c r="A39" s="6" t="s">
        <v>392</v>
      </c>
      <c r="B39" s="6" t="s">
        <v>316</v>
      </c>
      <c r="C39" s="6" t="s">
        <v>244</v>
      </c>
      <c r="D39" s="6" t="s">
        <v>201</v>
      </c>
      <c r="E39" s="6" t="s">
        <v>203</v>
      </c>
      <c r="F39" s="6" t="s">
        <v>320</v>
      </c>
      <c r="G39" s="6" t="str">
        <f aca="false">LEFT(F39,1)</f>
        <v>4</v>
      </c>
      <c r="H39" s="6" t="str">
        <f aca="false">LEFT(F39,2)</f>
        <v>42</v>
      </c>
      <c r="I39" s="6" t="str">
        <f aca="false">LEFT(F39,3)</f>
        <v>426</v>
      </c>
      <c r="J39" s="6" t="str">
        <f aca="false">LEFT(F39,4)</f>
        <v>4264</v>
      </c>
      <c r="K39" s="7" t="s">
        <v>190</v>
      </c>
      <c r="L39" s="27" t="n">
        <v>15270.01</v>
      </c>
      <c r="M39" s="27" t="n">
        <v>15499.06</v>
      </c>
      <c r="N39" s="27" t="n">
        <v>15731.55</v>
      </c>
    </row>
    <row r="40" customFormat="false" ht="15" hidden="false" customHeight="false" outlineLevel="0" collapsed="false">
      <c r="A40" s="6" t="s">
        <v>392</v>
      </c>
      <c r="B40" s="6" t="s">
        <v>321</v>
      </c>
      <c r="C40" s="6" t="s">
        <v>244</v>
      </c>
      <c r="D40" s="6" t="s">
        <v>88</v>
      </c>
      <c r="E40" s="6" t="s">
        <v>88</v>
      </c>
      <c r="F40" s="6" t="s">
        <v>310</v>
      </c>
      <c r="G40" s="6" t="str">
        <f aca="false">LEFT(F40,1)</f>
        <v>3</v>
      </c>
      <c r="H40" s="6" t="str">
        <f aca="false">LEFT(F40,2)</f>
        <v>32</v>
      </c>
      <c r="I40" s="6" t="str">
        <f aca="false">LEFT(F40,3)</f>
        <v>321</v>
      </c>
      <c r="J40" s="6" t="str">
        <f aca="false">LEFT(F40,4)</f>
        <v>3212</v>
      </c>
      <c r="K40" s="7" t="s">
        <v>311</v>
      </c>
      <c r="L40" s="27" t="n">
        <v>1500</v>
      </c>
      <c r="M40" s="27" t="n">
        <v>1522.5</v>
      </c>
      <c r="N40" s="27" t="n">
        <v>1545.34</v>
      </c>
    </row>
    <row r="41" customFormat="false" ht="15" hidden="false" customHeight="false" outlineLevel="0" collapsed="false">
      <c r="A41" s="6" t="s">
        <v>392</v>
      </c>
      <c r="B41" s="6" t="s">
        <v>321</v>
      </c>
      <c r="C41" s="6" t="s">
        <v>244</v>
      </c>
      <c r="D41" s="6" t="s">
        <v>88</v>
      </c>
      <c r="E41" s="6" t="s">
        <v>88</v>
      </c>
      <c r="F41" s="6" t="s">
        <v>259</v>
      </c>
      <c r="G41" s="6" t="str">
        <f aca="false">LEFT(F41,1)</f>
        <v>3</v>
      </c>
      <c r="H41" s="6" t="str">
        <f aca="false">LEFT(F41,2)</f>
        <v>32</v>
      </c>
      <c r="I41" s="6" t="str">
        <f aca="false">LEFT(F41,3)</f>
        <v>321</v>
      </c>
      <c r="J41" s="6" t="str">
        <f aca="false">LEFT(F41,4)</f>
        <v>3213</v>
      </c>
      <c r="K41" s="7" t="s">
        <v>260</v>
      </c>
      <c r="L41" s="27" t="n">
        <v>4000</v>
      </c>
      <c r="M41" s="27" t="n">
        <v>4060</v>
      </c>
      <c r="N41" s="27" t="n">
        <v>4120.9</v>
      </c>
    </row>
    <row r="42" customFormat="false" ht="23.85" hidden="false" customHeight="false" outlineLevel="0" collapsed="false">
      <c r="A42" s="6" t="s">
        <v>392</v>
      </c>
      <c r="B42" s="6" t="s">
        <v>321</v>
      </c>
      <c r="C42" s="6" t="s">
        <v>244</v>
      </c>
      <c r="D42" s="6" t="s">
        <v>88</v>
      </c>
      <c r="E42" s="6" t="s">
        <v>88</v>
      </c>
      <c r="F42" s="6" t="s">
        <v>272</v>
      </c>
      <c r="G42" s="6" t="str">
        <f aca="false">LEFT(F42,1)</f>
        <v>3</v>
      </c>
      <c r="H42" s="6" t="str">
        <f aca="false">LEFT(F42,2)</f>
        <v>32</v>
      </c>
      <c r="I42" s="6" t="str">
        <f aca="false">LEFT(F42,3)</f>
        <v>322</v>
      </c>
      <c r="J42" s="6" t="str">
        <f aca="false">LEFT(F42,4)</f>
        <v>3224</v>
      </c>
      <c r="K42" s="7" t="s">
        <v>273</v>
      </c>
      <c r="L42" s="27" t="n">
        <v>3000</v>
      </c>
      <c r="M42" s="27" t="n">
        <v>3045</v>
      </c>
      <c r="N42" s="27" t="n">
        <v>3090.68</v>
      </c>
    </row>
    <row r="43" customFormat="false" ht="15" hidden="false" customHeight="false" outlineLevel="0" collapsed="false">
      <c r="A43" s="6" t="s">
        <v>392</v>
      </c>
      <c r="B43" s="6" t="s">
        <v>321</v>
      </c>
      <c r="C43" s="6" t="s">
        <v>244</v>
      </c>
      <c r="D43" s="6" t="s">
        <v>88</v>
      </c>
      <c r="E43" s="6" t="s">
        <v>88</v>
      </c>
      <c r="F43" s="6" t="s">
        <v>279</v>
      </c>
      <c r="G43" s="6" t="str">
        <f aca="false">LEFT(F43,1)</f>
        <v>3</v>
      </c>
      <c r="H43" s="6" t="str">
        <f aca="false">LEFT(F43,2)</f>
        <v>32</v>
      </c>
      <c r="I43" s="6" t="str">
        <f aca="false">LEFT(F43,3)</f>
        <v>323</v>
      </c>
      <c r="J43" s="6" t="str">
        <f aca="false">LEFT(F43,4)</f>
        <v>3232</v>
      </c>
      <c r="K43" s="7" t="s">
        <v>280</v>
      </c>
      <c r="L43" s="27" t="n">
        <v>5000</v>
      </c>
      <c r="M43" s="27" t="n">
        <v>5075</v>
      </c>
      <c r="N43" s="27" t="n">
        <v>5151.12</v>
      </c>
    </row>
    <row r="44" customFormat="false" ht="15" hidden="false" customHeight="false" outlineLevel="0" collapsed="false">
      <c r="A44" s="6" t="s">
        <v>392</v>
      </c>
      <c r="B44" s="6" t="s">
        <v>321</v>
      </c>
      <c r="C44" s="6" t="s">
        <v>244</v>
      </c>
      <c r="D44" s="6" t="s">
        <v>88</v>
      </c>
      <c r="E44" s="6" t="s">
        <v>88</v>
      </c>
      <c r="F44" s="6" t="s">
        <v>281</v>
      </c>
      <c r="G44" s="6" t="str">
        <f aca="false">LEFT(F44,1)</f>
        <v>3</v>
      </c>
      <c r="H44" s="6" t="str">
        <f aca="false">LEFT(F44,2)</f>
        <v>32</v>
      </c>
      <c r="I44" s="6" t="str">
        <f aca="false">LEFT(F44,3)</f>
        <v>323</v>
      </c>
      <c r="J44" s="6" t="str">
        <f aca="false">LEFT(F44,4)</f>
        <v>3234</v>
      </c>
      <c r="K44" s="7" t="s">
        <v>282</v>
      </c>
      <c r="L44" s="27" t="n">
        <v>2000</v>
      </c>
      <c r="M44" s="27" t="n">
        <v>2030</v>
      </c>
      <c r="N44" s="27" t="n">
        <v>2060.45</v>
      </c>
    </row>
    <row r="45" customFormat="false" ht="15" hidden="false" customHeight="false" outlineLevel="0" collapsed="false">
      <c r="A45" s="6" t="s">
        <v>392</v>
      </c>
      <c r="B45" s="6" t="s">
        <v>321</v>
      </c>
      <c r="C45" s="6" t="s">
        <v>244</v>
      </c>
      <c r="D45" s="6" t="s">
        <v>88</v>
      </c>
      <c r="E45" s="6" t="s">
        <v>88</v>
      </c>
      <c r="F45" s="6" t="s">
        <v>287</v>
      </c>
      <c r="G45" s="6" t="str">
        <f aca="false">LEFT(F45,1)</f>
        <v>3</v>
      </c>
      <c r="H45" s="6" t="str">
        <f aca="false">LEFT(F45,2)</f>
        <v>32</v>
      </c>
      <c r="I45" s="6" t="str">
        <f aca="false">LEFT(F45,3)</f>
        <v>323</v>
      </c>
      <c r="J45" s="6" t="str">
        <f aca="false">LEFT(F45,4)</f>
        <v>3235</v>
      </c>
      <c r="K45" s="7" t="s">
        <v>288</v>
      </c>
      <c r="L45" s="27" t="n">
        <v>4000</v>
      </c>
      <c r="M45" s="27" t="n">
        <v>4060</v>
      </c>
      <c r="N45" s="27" t="n">
        <v>4120.9</v>
      </c>
    </row>
    <row r="46" customFormat="false" ht="15" hidden="false" customHeight="false" outlineLevel="0" collapsed="false">
      <c r="A46" s="6" t="s">
        <v>392</v>
      </c>
      <c r="B46" s="6" t="s">
        <v>321</v>
      </c>
      <c r="C46" s="6" t="s">
        <v>244</v>
      </c>
      <c r="D46" s="6" t="s">
        <v>88</v>
      </c>
      <c r="E46" s="6" t="s">
        <v>88</v>
      </c>
      <c r="F46" s="6" t="s">
        <v>291</v>
      </c>
      <c r="G46" s="6" t="str">
        <f aca="false">LEFT(F46,1)</f>
        <v>3</v>
      </c>
      <c r="H46" s="6" t="str">
        <f aca="false">LEFT(F46,2)</f>
        <v>32</v>
      </c>
      <c r="I46" s="6" t="str">
        <f aca="false">LEFT(F46,3)</f>
        <v>323</v>
      </c>
      <c r="J46" s="6" t="str">
        <f aca="false">LEFT(F46,4)</f>
        <v>3237</v>
      </c>
      <c r="K46" s="7" t="s">
        <v>292</v>
      </c>
      <c r="L46" s="27" t="n">
        <v>1500</v>
      </c>
      <c r="M46" s="27" t="n">
        <v>1522.5</v>
      </c>
      <c r="N46" s="27" t="n">
        <v>1545.34</v>
      </c>
    </row>
    <row r="47" customFormat="false" ht="15" hidden="false" customHeight="false" outlineLevel="0" collapsed="false">
      <c r="A47" s="6" t="s">
        <v>392</v>
      </c>
      <c r="B47" s="6" t="s">
        <v>321</v>
      </c>
      <c r="C47" s="6" t="s">
        <v>244</v>
      </c>
      <c r="D47" s="6" t="s">
        <v>88</v>
      </c>
      <c r="E47" s="6" t="s">
        <v>88</v>
      </c>
      <c r="F47" s="6" t="s">
        <v>325</v>
      </c>
      <c r="G47" s="6" t="str">
        <f aca="false">LEFT(F47,1)</f>
        <v>3</v>
      </c>
      <c r="H47" s="6" t="str">
        <f aca="false">LEFT(F47,2)</f>
        <v>32</v>
      </c>
      <c r="I47" s="6" t="str">
        <f aca="false">LEFT(F47,3)</f>
        <v>323</v>
      </c>
      <c r="J47" s="6" t="str">
        <f aca="false">LEFT(F47,4)</f>
        <v>3238</v>
      </c>
      <c r="K47" s="7" t="s">
        <v>326</v>
      </c>
      <c r="L47" s="27" t="n">
        <v>500</v>
      </c>
      <c r="M47" s="27" t="n">
        <v>507.5</v>
      </c>
      <c r="N47" s="27" t="n">
        <v>515.11</v>
      </c>
    </row>
    <row r="48" customFormat="false" ht="15" hidden="false" customHeight="false" outlineLevel="0" collapsed="false">
      <c r="A48" s="6" t="s">
        <v>392</v>
      </c>
      <c r="B48" s="6" t="s">
        <v>321</v>
      </c>
      <c r="C48" s="6" t="s">
        <v>244</v>
      </c>
      <c r="D48" s="6" t="s">
        <v>88</v>
      </c>
      <c r="E48" s="6" t="s">
        <v>88</v>
      </c>
      <c r="F48" s="6" t="s">
        <v>327</v>
      </c>
      <c r="G48" s="6" t="str">
        <f aca="false">LEFT(F48,1)</f>
        <v>3</v>
      </c>
      <c r="H48" s="6" t="str">
        <f aca="false">LEFT(F48,2)</f>
        <v>32</v>
      </c>
      <c r="I48" s="6" t="str">
        <f aca="false">LEFT(F48,3)</f>
        <v>323</v>
      </c>
      <c r="J48" s="6" t="str">
        <f aca="false">LEFT(F48,4)</f>
        <v>3239</v>
      </c>
      <c r="K48" s="7" t="s">
        <v>328</v>
      </c>
      <c r="L48" s="27" t="n">
        <v>500</v>
      </c>
      <c r="M48" s="27" t="n">
        <v>507.5</v>
      </c>
      <c r="N48" s="27" t="n">
        <v>515.11</v>
      </c>
    </row>
    <row r="49" customFormat="false" ht="15" hidden="false" customHeight="false" outlineLevel="0" collapsed="false">
      <c r="A49" s="6" t="s">
        <v>392</v>
      </c>
      <c r="B49" s="6" t="s">
        <v>321</v>
      </c>
      <c r="C49" s="6" t="s">
        <v>244</v>
      </c>
      <c r="D49" s="6" t="s">
        <v>88</v>
      </c>
      <c r="E49" s="6" t="s">
        <v>88</v>
      </c>
      <c r="F49" s="6" t="s">
        <v>329</v>
      </c>
      <c r="G49" s="6" t="str">
        <f aca="false">LEFT(F49,1)</f>
        <v>3</v>
      </c>
      <c r="H49" s="6" t="str">
        <f aca="false">LEFT(F49,2)</f>
        <v>34</v>
      </c>
      <c r="I49" s="6" t="str">
        <f aca="false">LEFT(F49,3)</f>
        <v>343</v>
      </c>
      <c r="J49" s="6" t="str">
        <f aca="false">LEFT(F49,4)</f>
        <v>3433</v>
      </c>
      <c r="K49" s="7" t="s">
        <v>330</v>
      </c>
      <c r="L49" s="27" t="n">
        <v>800</v>
      </c>
      <c r="M49" s="27" t="n">
        <v>812</v>
      </c>
      <c r="N49" s="27" t="n">
        <v>824.18</v>
      </c>
    </row>
    <row r="50" customFormat="false" ht="15" hidden="false" customHeight="false" outlineLevel="0" collapsed="false">
      <c r="A50" s="6" t="s">
        <v>392</v>
      </c>
      <c r="B50" s="6" t="s">
        <v>321</v>
      </c>
      <c r="C50" s="6" t="s">
        <v>244</v>
      </c>
      <c r="D50" s="6" t="s">
        <v>88</v>
      </c>
      <c r="E50" s="6" t="s">
        <v>88</v>
      </c>
      <c r="F50" s="6" t="s">
        <v>331</v>
      </c>
      <c r="G50" s="6" t="str">
        <f aca="false">LEFT(F50,1)</f>
        <v>4</v>
      </c>
      <c r="H50" s="6" t="str">
        <f aca="false">LEFT(F50,2)</f>
        <v>42</v>
      </c>
      <c r="I50" s="6" t="str">
        <f aca="false">LEFT(F50,3)</f>
        <v>422</v>
      </c>
      <c r="J50" s="6" t="str">
        <f aca="false">LEFT(F50,4)</f>
        <v>4221</v>
      </c>
      <c r="K50" s="7" t="s">
        <v>332</v>
      </c>
      <c r="L50" s="27" t="n">
        <v>4000</v>
      </c>
      <c r="M50" s="27" t="n">
        <v>4060</v>
      </c>
      <c r="N50" s="27" t="n">
        <v>4120.9</v>
      </c>
    </row>
    <row r="51" customFormat="false" ht="15" hidden="false" customHeight="false" outlineLevel="0" collapsed="false">
      <c r="A51" s="6" t="s">
        <v>392</v>
      </c>
      <c r="B51" s="6" t="s">
        <v>321</v>
      </c>
      <c r="C51" s="6" t="s">
        <v>244</v>
      </c>
      <c r="D51" s="6" t="s">
        <v>88</v>
      </c>
      <c r="E51" s="6" t="s">
        <v>88</v>
      </c>
      <c r="F51" s="6" t="s">
        <v>333</v>
      </c>
      <c r="G51" s="6" t="str">
        <f aca="false">LEFT(F51,1)</f>
        <v>4</v>
      </c>
      <c r="H51" s="6" t="str">
        <f aca="false">LEFT(F51,2)</f>
        <v>42</v>
      </c>
      <c r="I51" s="6" t="str">
        <f aca="false">LEFT(F51,3)</f>
        <v>422</v>
      </c>
      <c r="J51" s="6" t="str">
        <f aca="false">LEFT(F51,4)</f>
        <v>4227</v>
      </c>
      <c r="K51" s="7" t="s">
        <v>334</v>
      </c>
      <c r="L51" s="27" t="n">
        <v>2000</v>
      </c>
      <c r="M51" s="27" t="n">
        <v>2030</v>
      </c>
      <c r="N51" s="27" t="n">
        <v>2060.45</v>
      </c>
    </row>
    <row r="52" customFormat="false" ht="15" hidden="false" customHeight="false" outlineLevel="0" collapsed="false">
      <c r="A52" s="6" t="s">
        <v>392</v>
      </c>
      <c r="B52" s="6" t="s">
        <v>321</v>
      </c>
      <c r="C52" s="6" t="s">
        <v>244</v>
      </c>
      <c r="D52" s="6" t="s">
        <v>207</v>
      </c>
      <c r="E52" s="6" t="s">
        <v>207</v>
      </c>
      <c r="F52" s="6" t="s">
        <v>336</v>
      </c>
      <c r="G52" s="6" t="str">
        <f aca="false">LEFT(F52,1)</f>
        <v>3</v>
      </c>
      <c r="H52" s="6" t="str">
        <f aca="false">LEFT(F52,2)</f>
        <v>31</v>
      </c>
      <c r="I52" s="6" t="str">
        <f aca="false">LEFT(F52,3)</f>
        <v>312</v>
      </c>
      <c r="J52" s="6" t="str">
        <f aca="false">LEFT(F52,4)</f>
        <v>3121</v>
      </c>
      <c r="K52" s="7" t="s">
        <v>337</v>
      </c>
      <c r="L52" s="27" t="n">
        <v>800</v>
      </c>
      <c r="M52" s="27" t="n">
        <v>812</v>
      </c>
      <c r="N52" s="27" t="n">
        <v>824.18</v>
      </c>
    </row>
    <row r="53" customFormat="false" ht="15" hidden="false" customHeight="false" outlineLevel="0" collapsed="false">
      <c r="A53" s="6" t="s">
        <v>392</v>
      </c>
      <c r="B53" s="6" t="s">
        <v>321</v>
      </c>
      <c r="C53" s="6" t="s">
        <v>244</v>
      </c>
      <c r="D53" s="6" t="s">
        <v>207</v>
      </c>
      <c r="E53" s="6" t="s">
        <v>207</v>
      </c>
      <c r="F53" s="6" t="s">
        <v>338</v>
      </c>
      <c r="G53" s="6" t="str">
        <f aca="false">LEFT(F53,1)</f>
        <v>3</v>
      </c>
      <c r="H53" s="6" t="str">
        <f aca="false">LEFT(F53,2)</f>
        <v>31</v>
      </c>
      <c r="I53" s="6" t="str">
        <f aca="false">LEFT(F53,3)</f>
        <v>312</v>
      </c>
      <c r="J53" s="6" t="str">
        <f aca="false">LEFT(F53,4)</f>
        <v>3121</v>
      </c>
      <c r="K53" s="7" t="s">
        <v>339</v>
      </c>
      <c r="L53" s="27" t="n">
        <v>500</v>
      </c>
      <c r="M53" s="27" t="n">
        <v>507.5</v>
      </c>
      <c r="N53" s="27" t="n">
        <v>515.11</v>
      </c>
    </row>
    <row r="54" customFormat="false" ht="15" hidden="false" customHeight="false" outlineLevel="0" collapsed="false">
      <c r="A54" s="6" t="s">
        <v>392</v>
      </c>
      <c r="B54" s="6" t="s">
        <v>321</v>
      </c>
      <c r="C54" s="6" t="s">
        <v>244</v>
      </c>
      <c r="D54" s="6" t="s">
        <v>207</v>
      </c>
      <c r="E54" s="6" t="s">
        <v>207</v>
      </c>
      <c r="F54" s="6" t="s">
        <v>340</v>
      </c>
      <c r="G54" s="6" t="str">
        <f aca="false">LEFT(F54,1)</f>
        <v>3</v>
      </c>
      <c r="H54" s="6" t="str">
        <f aca="false">LEFT(F54,2)</f>
        <v>31</v>
      </c>
      <c r="I54" s="6" t="str">
        <f aca="false">LEFT(F54,3)</f>
        <v>312</v>
      </c>
      <c r="J54" s="6" t="str">
        <f aca="false">LEFT(F54,4)</f>
        <v>3121</v>
      </c>
      <c r="K54" s="7" t="s">
        <v>341</v>
      </c>
      <c r="L54" s="27" t="n">
        <v>1000</v>
      </c>
      <c r="M54" s="27" t="n">
        <v>1015</v>
      </c>
      <c r="N54" s="27" t="n">
        <v>1030.23</v>
      </c>
    </row>
    <row r="55" customFormat="false" ht="15" hidden="false" customHeight="false" outlineLevel="0" collapsed="false">
      <c r="A55" s="6" t="s">
        <v>392</v>
      </c>
      <c r="B55" s="6" t="s">
        <v>321</v>
      </c>
      <c r="C55" s="6" t="s">
        <v>244</v>
      </c>
      <c r="D55" s="6" t="s">
        <v>207</v>
      </c>
      <c r="E55" s="6" t="s">
        <v>207</v>
      </c>
      <c r="F55" s="6" t="s">
        <v>264</v>
      </c>
      <c r="G55" s="6" t="str">
        <f aca="false">LEFT(F55,1)</f>
        <v>3</v>
      </c>
      <c r="H55" s="6" t="str">
        <f aca="false">LEFT(F55,2)</f>
        <v>32</v>
      </c>
      <c r="I55" s="6" t="str">
        <f aca="false">LEFT(F55,3)</f>
        <v>322</v>
      </c>
      <c r="J55" s="6" t="str">
        <f aca="false">LEFT(F55,4)</f>
        <v>3222</v>
      </c>
      <c r="K55" s="7" t="s">
        <v>265</v>
      </c>
      <c r="L55" s="27" t="n">
        <v>2000</v>
      </c>
      <c r="M55" s="27" t="n">
        <v>2030</v>
      </c>
      <c r="N55" s="27" t="n">
        <v>2060.45</v>
      </c>
    </row>
    <row r="56" customFormat="false" ht="15" hidden="false" customHeight="false" outlineLevel="0" collapsed="false">
      <c r="A56" s="6" t="s">
        <v>392</v>
      </c>
      <c r="B56" s="6" t="s">
        <v>321</v>
      </c>
      <c r="C56" s="6" t="s">
        <v>244</v>
      </c>
      <c r="D56" s="6" t="s">
        <v>207</v>
      </c>
      <c r="E56" s="6" t="s">
        <v>207</v>
      </c>
      <c r="F56" s="6" t="s">
        <v>342</v>
      </c>
      <c r="G56" s="6" t="str">
        <f aca="false">LEFT(F56,1)</f>
        <v>3</v>
      </c>
      <c r="H56" s="6" t="str">
        <f aca="false">LEFT(F56,2)</f>
        <v>32</v>
      </c>
      <c r="I56" s="6" t="str">
        <f aca="false">LEFT(F56,3)</f>
        <v>322</v>
      </c>
      <c r="J56" s="6" t="str">
        <f aca="false">LEFT(F56,4)</f>
        <v>3222</v>
      </c>
      <c r="K56" s="7" t="s">
        <v>343</v>
      </c>
      <c r="L56" s="27" t="n">
        <v>15000</v>
      </c>
      <c r="M56" s="27" t="n">
        <v>15225</v>
      </c>
      <c r="N56" s="27" t="n">
        <v>15453.37</v>
      </c>
    </row>
    <row r="57" customFormat="false" ht="15" hidden="false" customHeight="false" outlineLevel="0" collapsed="false">
      <c r="A57" s="6" t="s">
        <v>392</v>
      </c>
      <c r="B57" s="6" t="s">
        <v>321</v>
      </c>
      <c r="C57" s="6" t="s">
        <v>244</v>
      </c>
      <c r="D57" s="6" t="s">
        <v>207</v>
      </c>
      <c r="E57" s="6" t="s">
        <v>207</v>
      </c>
      <c r="F57" s="6" t="s">
        <v>287</v>
      </c>
      <c r="G57" s="6" t="str">
        <f aca="false">LEFT(F57,1)</f>
        <v>3</v>
      </c>
      <c r="H57" s="6" t="str">
        <f aca="false">LEFT(F57,2)</f>
        <v>32</v>
      </c>
      <c r="I57" s="6" t="str">
        <f aca="false">LEFT(F57,3)</f>
        <v>323</v>
      </c>
      <c r="J57" s="6" t="str">
        <f aca="false">LEFT(F57,4)</f>
        <v>3235</v>
      </c>
      <c r="K57" s="7" t="s">
        <v>288</v>
      </c>
      <c r="L57" s="27" t="n">
        <v>4000</v>
      </c>
      <c r="M57" s="27" t="n">
        <v>4060</v>
      </c>
      <c r="N57" s="27" t="n">
        <v>4120.9</v>
      </c>
    </row>
    <row r="58" customFormat="false" ht="15" hidden="false" customHeight="false" outlineLevel="0" collapsed="false">
      <c r="A58" s="6" t="s">
        <v>392</v>
      </c>
      <c r="B58" s="6" t="s">
        <v>321</v>
      </c>
      <c r="C58" s="6" t="s">
        <v>244</v>
      </c>
      <c r="D58" s="6" t="s">
        <v>175</v>
      </c>
      <c r="E58" s="6" t="s">
        <v>211</v>
      </c>
      <c r="F58" s="6" t="s">
        <v>264</v>
      </c>
      <c r="G58" s="6" t="str">
        <f aca="false">LEFT(F58,1)</f>
        <v>3</v>
      </c>
      <c r="H58" s="6" t="str">
        <f aca="false">LEFT(F58,2)</f>
        <v>32</v>
      </c>
      <c r="I58" s="6" t="str">
        <f aca="false">LEFT(F58,3)</f>
        <v>322</v>
      </c>
      <c r="J58" s="6" t="str">
        <f aca="false">LEFT(F58,4)</f>
        <v>3222</v>
      </c>
      <c r="K58" s="7" t="s">
        <v>265</v>
      </c>
      <c r="L58" s="27" t="n">
        <v>500</v>
      </c>
      <c r="M58" s="27" t="n">
        <v>507.5</v>
      </c>
      <c r="N58" s="27" t="n">
        <v>515.11</v>
      </c>
    </row>
    <row r="59" customFormat="false" ht="23.85" hidden="false" customHeight="false" outlineLevel="0" collapsed="false">
      <c r="A59" s="6" t="s">
        <v>392</v>
      </c>
      <c r="B59" s="6" t="s">
        <v>321</v>
      </c>
      <c r="C59" s="6" t="s">
        <v>244</v>
      </c>
      <c r="D59" s="6" t="s">
        <v>175</v>
      </c>
      <c r="E59" s="6" t="s">
        <v>211</v>
      </c>
      <c r="F59" s="6" t="s">
        <v>272</v>
      </c>
      <c r="G59" s="6" t="str">
        <f aca="false">LEFT(F59,1)</f>
        <v>3</v>
      </c>
      <c r="H59" s="6" t="str">
        <f aca="false">LEFT(F59,2)</f>
        <v>32</v>
      </c>
      <c r="I59" s="6" t="str">
        <f aca="false">LEFT(F59,3)</f>
        <v>322</v>
      </c>
      <c r="J59" s="6" t="str">
        <f aca="false">LEFT(F59,4)</f>
        <v>3224</v>
      </c>
      <c r="K59" s="7" t="s">
        <v>273</v>
      </c>
      <c r="L59" s="27" t="n">
        <v>1000</v>
      </c>
      <c r="M59" s="27" t="n">
        <v>1015</v>
      </c>
      <c r="N59" s="27" t="n">
        <v>1030.23</v>
      </c>
    </row>
    <row r="60" customFormat="false" ht="15" hidden="false" customHeight="false" outlineLevel="0" collapsed="false">
      <c r="A60" s="6" t="s">
        <v>392</v>
      </c>
      <c r="B60" s="6" t="s">
        <v>321</v>
      </c>
      <c r="C60" s="6" t="s">
        <v>244</v>
      </c>
      <c r="D60" s="6" t="s">
        <v>175</v>
      </c>
      <c r="E60" s="6" t="s">
        <v>211</v>
      </c>
      <c r="F60" s="6" t="s">
        <v>279</v>
      </c>
      <c r="G60" s="6" t="str">
        <f aca="false">LEFT(F60,1)</f>
        <v>3</v>
      </c>
      <c r="H60" s="6" t="str">
        <f aca="false">LEFT(F60,2)</f>
        <v>32</v>
      </c>
      <c r="I60" s="6" t="str">
        <f aca="false">LEFT(F60,3)</f>
        <v>323</v>
      </c>
      <c r="J60" s="6" t="str">
        <f aca="false">LEFT(F60,4)</f>
        <v>3232</v>
      </c>
      <c r="K60" s="7" t="s">
        <v>280</v>
      </c>
      <c r="L60" s="27" t="n">
        <v>3000</v>
      </c>
      <c r="M60" s="27" t="n">
        <v>3045</v>
      </c>
      <c r="N60" s="27" t="n">
        <v>3090.68</v>
      </c>
    </row>
    <row r="61" customFormat="false" ht="15" hidden="false" customHeight="false" outlineLevel="0" collapsed="false">
      <c r="A61" s="6" t="s">
        <v>392</v>
      </c>
      <c r="B61" s="6" t="s">
        <v>321</v>
      </c>
      <c r="C61" s="6" t="s">
        <v>244</v>
      </c>
      <c r="D61" s="6" t="s">
        <v>175</v>
      </c>
      <c r="E61" s="6" t="s">
        <v>211</v>
      </c>
      <c r="F61" s="6" t="s">
        <v>325</v>
      </c>
      <c r="G61" s="6" t="str">
        <f aca="false">LEFT(F61,1)</f>
        <v>3</v>
      </c>
      <c r="H61" s="6" t="str">
        <f aca="false">LEFT(F61,2)</f>
        <v>32</v>
      </c>
      <c r="I61" s="6" t="str">
        <f aca="false">LEFT(F61,3)</f>
        <v>323</v>
      </c>
      <c r="J61" s="6" t="str">
        <f aca="false">LEFT(F61,4)</f>
        <v>3238</v>
      </c>
      <c r="K61" s="7" t="s">
        <v>326</v>
      </c>
      <c r="L61" s="27" t="n">
        <v>500</v>
      </c>
      <c r="M61" s="27" t="n">
        <v>507.5</v>
      </c>
      <c r="N61" s="27" t="n">
        <v>515.11</v>
      </c>
    </row>
    <row r="62" customFormat="false" ht="15" hidden="false" customHeight="false" outlineLevel="0" collapsed="false">
      <c r="A62" s="6" t="s">
        <v>392</v>
      </c>
      <c r="B62" s="6" t="s">
        <v>321</v>
      </c>
      <c r="C62" s="6" t="s">
        <v>244</v>
      </c>
      <c r="D62" s="6" t="s">
        <v>175</v>
      </c>
      <c r="E62" s="6" t="s">
        <v>211</v>
      </c>
      <c r="F62" s="6" t="s">
        <v>346</v>
      </c>
      <c r="G62" s="6" t="str">
        <f aca="false">LEFT(F62,1)</f>
        <v>3</v>
      </c>
      <c r="H62" s="6" t="str">
        <f aca="false">LEFT(F62,2)</f>
        <v>32</v>
      </c>
      <c r="I62" s="6" t="str">
        <f aca="false">LEFT(F62,3)</f>
        <v>329</v>
      </c>
      <c r="J62" s="6" t="str">
        <f aca="false">LEFT(F62,4)</f>
        <v>3293</v>
      </c>
      <c r="K62" s="7" t="s">
        <v>150</v>
      </c>
      <c r="L62" s="27" t="n">
        <v>2000</v>
      </c>
      <c r="M62" s="27" t="n">
        <v>2030</v>
      </c>
      <c r="N62" s="27" t="n">
        <v>2060.45</v>
      </c>
    </row>
    <row r="63" customFormat="false" ht="15" hidden="false" customHeight="false" outlineLevel="0" collapsed="false">
      <c r="A63" s="6" t="s">
        <v>392</v>
      </c>
      <c r="B63" s="6" t="s">
        <v>321</v>
      </c>
      <c r="C63" s="6" t="s">
        <v>244</v>
      </c>
      <c r="D63" s="6" t="s">
        <v>175</v>
      </c>
      <c r="E63" s="6" t="s">
        <v>211</v>
      </c>
      <c r="F63" s="6" t="s">
        <v>331</v>
      </c>
      <c r="G63" s="6" t="str">
        <f aca="false">LEFT(F63,1)</f>
        <v>4</v>
      </c>
      <c r="H63" s="6" t="str">
        <f aca="false">LEFT(F63,2)</f>
        <v>42</v>
      </c>
      <c r="I63" s="6" t="str">
        <f aca="false">LEFT(F63,3)</f>
        <v>422</v>
      </c>
      <c r="J63" s="6" t="str">
        <f aca="false">LEFT(F63,4)</f>
        <v>4221</v>
      </c>
      <c r="K63" s="7" t="s">
        <v>332</v>
      </c>
      <c r="L63" s="27" t="n">
        <v>2000</v>
      </c>
      <c r="M63" s="27" t="n">
        <v>2030</v>
      </c>
      <c r="N63" s="27" t="n">
        <v>2060.45</v>
      </c>
    </row>
    <row r="64" customFormat="false" ht="15" hidden="false" customHeight="false" outlineLevel="0" collapsed="false">
      <c r="A64" s="6" t="s">
        <v>392</v>
      </c>
      <c r="B64" s="6" t="s">
        <v>321</v>
      </c>
      <c r="C64" s="6" t="s">
        <v>244</v>
      </c>
      <c r="D64" s="6" t="s">
        <v>175</v>
      </c>
      <c r="E64" s="6" t="s">
        <v>211</v>
      </c>
      <c r="F64" s="6" t="s">
        <v>333</v>
      </c>
      <c r="G64" s="6" t="str">
        <f aca="false">LEFT(F64,1)</f>
        <v>4</v>
      </c>
      <c r="H64" s="6" t="str">
        <f aca="false">LEFT(F64,2)</f>
        <v>42</v>
      </c>
      <c r="I64" s="6" t="str">
        <f aca="false">LEFT(F64,3)</f>
        <v>422</v>
      </c>
      <c r="J64" s="6" t="str">
        <f aca="false">LEFT(F64,4)</f>
        <v>4227</v>
      </c>
      <c r="K64" s="7" t="s">
        <v>334</v>
      </c>
      <c r="L64" s="27" t="n">
        <v>3000</v>
      </c>
      <c r="M64" s="27" t="n">
        <v>3045</v>
      </c>
      <c r="N64" s="27" t="n">
        <v>3090.68</v>
      </c>
    </row>
    <row r="65" customFormat="false" ht="15" hidden="false" customHeight="false" outlineLevel="0" collapsed="false">
      <c r="A65" s="6" t="s">
        <v>392</v>
      </c>
      <c r="B65" s="6" t="s">
        <v>321</v>
      </c>
      <c r="C65" s="6" t="s">
        <v>244</v>
      </c>
      <c r="D65" s="6" t="s">
        <v>175</v>
      </c>
      <c r="E65" s="6" t="s">
        <v>211</v>
      </c>
      <c r="F65" s="6" t="s">
        <v>347</v>
      </c>
      <c r="G65" s="6" t="str">
        <f aca="false">LEFT(F65,1)</f>
        <v>4</v>
      </c>
      <c r="H65" s="6" t="str">
        <f aca="false">LEFT(F65,2)</f>
        <v>45</v>
      </c>
      <c r="I65" s="6" t="str">
        <f aca="false">LEFT(F65,3)</f>
        <v>451</v>
      </c>
      <c r="J65" s="6" t="str">
        <f aca="false">LEFT(F65,4)</f>
        <v>4511</v>
      </c>
      <c r="K65" s="7" t="s">
        <v>194</v>
      </c>
      <c r="L65" s="27" t="n">
        <v>12867.33</v>
      </c>
      <c r="M65" s="27" t="n">
        <v>13060.34</v>
      </c>
      <c r="N65" s="27" t="n">
        <v>13256.25</v>
      </c>
    </row>
    <row r="66" customFormat="false" ht="15" hidden="false" customHeight="false" outlineLevel="0" collapsed="false">
      <c r="A66" s="6" t="s">
        <v>392</v>
      </c>
      <c r="B66" s="6" t="s">
        <v>321</v>
      </c>
      <c r="C66" s="6" t="s">
        <v>244</v>
      </c>
      <c r="D66" s="6" t="s">
        <v>215</v>
      </c>
      <c r="E66" s="6" t="s">
        <v>217</v>
      </c>
      <c r="F66" s="6" t="s">
        <v>264</v>
      </c>
      <c r="G66" s="6" t="str">
        <f aca="false">LEFT(F66,1)</f>
        <v>3</v>
      </c>
      <c r="H66" s="6" t="str">
        <f aca="false">LEFT(F66,2)</f>
        <v>32</v>
      </c>
      <c r="I66" s="6" t="str">
        <f aca="false">LEFT(F66,3)</f>
        <v>322</v>
      </c>
      <c r="J66" s="6" t="str">
        <f aca="false">LEFT(F66,4)</f>
        <v>3222</v>
      </c>
      <c r="K66" s="7" t="s">
        <v>265</v>
      </c>
      <c r="L66" s="27" t="n">
        <v>500</v>
      </c>
      <c r="M66" s="27" t="n">
        <v>507.5</v>
      </c>
      <c r="N66" s="27" t="n">
        <v>515.11</v>
      </c>
    </row>
    <row r="67" customFormat="false" ht="15" hidden="false" customHeight="false" outlineLevel="0" collapsed="false">
      <c r="A67" s="6" t="s">
        <v>392</v>
      </c>
      <c r="B67" s="6" t="s">
        <v>321</v>
      </c>
      <c r="C67" s="6" t="s">
        <v>244</v>
      </c>
      <c r="D67" s="6" t="s">
        <v>215</v>
      </c>
      <c r="E67" s="6" t="s">
        <v>217</v>
      </c>
      <c r="F67" s="6" t="s">
        <v>350</v>
      </c>
      <c r="G67" s="6" t="str">
        <f aca="false">LEFT(F67,1)</f>
        <v>3</v>
      </c>
      <c r="H67" s="6" t="str">
        <f aca="false">LEFT(F67,2)</f>
        <v>32</v>
      </c>
      <c r="I67" s="6" t="str">
        <f aca="false">LEFT(F67,3)</f>
        <v>323</v>
      </c>
      <c r="J67" s="6" t="str">
        <f aca="false">LEFT(F67,4)</f>
        <v>3237</v>
      </c>
      <c r="K67" s="7" t="s">
        <v>351</v>
      </c>
      <c r="L67" s="27" t="n">
        <v>500</v>
      </c>
      <c r="M67" s="27" t="n">
        <v>507.5</v>
      </c>
      <c r="N67" s="27" t="n">
        <v>515.11</v>
      </c>
    </row>
    <row r="68" customFormat="false" ht="15" hidden="false" customHeight="false" outlineLevel="0" collapsed="false">
      <c r="A68" s="6" t="s">
        <v>392</v>
      </c>
      <c r="B68" s="6" t="s">
        <v>321</v>
      </c>
      <c r="C68" s="6" t="s">
        <v>244</v>
      </c>
      <c r="D68" s="6" t="s">
        <v>215</v>
      </c>
      <c r="E68" s="6" t="s">
        <v>217</v>
      </c>
      <c r="F68" s="6" t="s">
        <v>352</v>
      </c>
      <c r="G68" s="6" t="str">
        <f aca="false">LEFT(F68,1)</f>
        <v>3</v>
      </c>
      <c r="H68" s="6" t="str">
        <f aca="false">LEFT(F68,2)</f>
        <v>37</v>
      </c>
      <c r="I68" s="6" t="str">
        <f aca="false">LEFT(F68,3)</f>
        <v>372</v>
      </c>
      <c r="J68" s="6" t="str">
        <f aca="false">LEFT(F68,4)</f>
        <v>3722</v>
      </c>
      <c r="K68" s="7" t="s">
        <v>353</v>
      </c>
      <c r="L68" s="27" t="n">
        <v>5000</v>
      </c>
      <c r="M68" s="27" t="n">
        <v>5075</v>
      </c>
      <c r="N68" s="27" t="n">
        <v>5151.12</v>
      </c>
    </row>
    <row r="69" customFormat="false" ht="15" hidden="false" customHeight="false" outlineLevel="0" collapsed="false">
      <c r="A69" s="6" t="s">
        <v>392</v>
      </c>
      <c r="B69" s="6" t="s">
        <v>321</v>
      </c>
      <c r="C69" s="6" t="s">
        <v>244</v>
      </c>
      <c r="D69" s="6" t="s">
        <v>215</v>
      </c>
      <c r="E69" s="6" t="s">
        <v>219</v>
      </c>
      <c r="F69" s="6" t="s">
        <v>356</v>
      </c>
      <c r="G69" s="6" t="str">
        <f aca="false">LEFT(F69,1)</f>
        <v>4</v>
      </c>
      <c r="H69" s="6" t="str">
        <f aca="false">LEFT(F69,2)</f>
        <v>42</v>
      </c>
      <c r="I69" s="6" t="str">
        <f aca="false">LEFT(F69,3)</f>
        <v>424</v>
      </c>
      <c r="J69" s="6" t="str">
        <f aca="false">LEFT(F69,4)</f>
        <v>4241</v>
      </c>
      <c r="K69" s="7" t="s">
        <v>186</v>
      </c>
      <c r="L69" s="27" t="n">
        <v>1000</v>
      </c>
      <c r="M69" s="27" t="n">
        <v>1015</v>
      </c>
      <c r="N69" s="27" t="n">
        <v>1030.23</v>
      </c>
    </row>
    <row r="70" customFormat="false" ht="15" hidden="false" customHeight="false" outlineLevel="0" collapsed="false">
      <c r="A70" s="6" t="s">
        <v>392</v>
      </c>
      <c r="B70" s="6" t="s">
        <v>321</v>
      </c>
      <c r="C70" s="6" t="s">
        <v>244</v>
      </c>
      <c r="D70" s="6" t="s">
        <v>229</v>
      </c>
      <c r="E70" s="6" t="s">
        <v>229</v>
      </c>
      <c r="F70" s="6" t="s">
        <v>307</v>
      </c>
      <c r="G70" s="6" t="str">
        <f aca="false">LEFT(F70,1)</f>
        <v>3</v>
      </c>
      <c r="H70" s="6" t="str">
        <f aca="false">LEFT(F70,2)</f>
        <v>31</v>
      </c>
      <c r="I70" s="6" t="str">
        <f aca="false">LEFT(F70,3)</f>
        <v>311</v>
      </c>
      <c r="J70" s="6" t="str">
        <f aca="false">LEFT(F70,4)</f>
        <v>3111</v>
      </c>
      <c r="K70" s="7" t="s">
        <v>93</v>
      </c>
      <c r="L70" s="27" t="n">
        <v>18000</v>
      </c>
      <c r="M70" s="27" t="n">
        <v>18270</v>
      </c>
      <c r="N70" s="27" t="n">
        <v>18544.05</v>
      </c>
    </row>
    <row r="71" customFormat="false" ht="15" hidden="false" customHeight="false" outlineLevel="0" collapsed="false">
      <c r="A71" s="6" t="s">
        <v>392</v>
      </c>
      <c r="B71" s="6" t="s">
        <v>321</v>
      </c>
      <c r="C71" s="6" t="s">
        <v>244</v>
      </c>
      <c r="D71" s="6" t="s">
        <v>229</v>
      </c>
      <c r="E71" s="6" t="s">
        <v>229</v>
      </c>
      <c r="F71" s="6" t="s">
        <v>308</v>
      </c>
      <c r="G71" s="6" t="str">
        <f aca="false">LEFT(F71,1)</f>
        <v>3</v>
      </c>
      <c r="H71" s="6" t="str">
        <f aca="false">LEFT(F71,2)</f>
        <v>31</v>
      </c>
      <c r="I71" s="6" t="str">
        <f aca="false">LEFT(F71,3)</f>
        <v>313</v>
      </c>
      <c r="J71" s="6" t="str">
        <f aca="false">LEFT(F71,4)</f>
        <v>3132</v>
      </c>
      <c r="K71" s="7" t="s">
        <v>309</v>
      </c>
      <c r="L71" s="27" t="n">
        <v>3000</v>
      </c>
      <c r="M71" s="27" t="n">
        <v>3045</v>
      </c>
      <c r="N71" s="27" t="n">
        <v>3090.68</v>
      </c>
    </row>
    <row r="72" customFormat="false" ht="15" hidden="false" customHeight="false" outlineLevel="0" collapsed="false">
      <c r="A72" s="6" t="s">
        <v>392</v>
      </c>
      <c r="B72" s="6" t="s">
        <v>321</v>
      </c>
      <c r="C72" s="6" t="s">
        <v>244</v>
      </c>
      <c r="D72" s="6" t="s">
        <v>229</v>
      </c>
      <c r="E72" s="6" t="s">
        <v>229</v>
      </c>
      <c r="F72" s="6" t="s">
        <v>359</v>
      </c>
      <c r="G72" s="6" t="str">
        <f aca="false">LEFT(F72,1)</f>
        <v>3</v>
      </c>
      <c r="H72" s="6" t="str">
        <f aca="false">LEFT(F72,2)</f>
        <v>37</v>
      </c>
      <c r="I72" s="6" t="str">
        <f aca="false">LEFT(F72,3)</f>
        <v>372</v>
      </c>
      <c r="J72" s="6" t="str">
        <f aca="false">LEFT(F72,4)</f>
        <v>3722</v>
      </c>
      <c r="K72" s="7" t="s">
        <v>360</v>
      </c>
      <c r="L72" s="27" t="n">
        <v>45000</v>
      </c>
      <c r="M72" s="27" t="n">
        <v>45675</v>
      </c>
      <c r="N72" s="27" t="n">
        <v>46360.12</v>
      </c>
    </row>
    <row r="73" customFormat="false" ht="15" hidden="false" customHeight="false" outlineLevel="0" collapsed="false">
      <c r="A73" s="6" t="s">
        <v>392</v>
      </c>
      <c r="B73" s="6" t="s">
        <v>361</v>
      </c>
      <c r="C73" s="6" t="s">
        <v>246</v>
      </c>
      <c r="D73" s="6" t="s">
        <v>175</v>
      </c>
      <c r="E73" s="6" t="s">
        <v>211</v>
      </c>
      <c r="F73" s="6" t="s">
        <v>356</v>
      </c>
      <c r="G73" s="6" t="str">
        <f aca="false">LEFT(F73,1)</f>
        <v>4</v>
      </c>
      <c r="H73" s="6" t="str">
        <f aca="false">LEFT(F73,2)</f>
        <v>42</v>
      </c>
      <c r="I73" s="6" t="str">
        <f aca="false">LEFT(F73,3)</f>
        <v>424</v>
      </c>
      <c r="J73" s="6" t="str">
        <f aca="false">LEFT(F73,4)</f>
        <v>4241</v>
      </c>
      <c r="K73" s="7" t="s">
        <v>363</v>
      </c>
      <c r="L73" s="27" t="n">
        <v>37000</v>
      </c>
      <c r="M73" s="27" t="n">
        <v>37555</v>
      </c>
      <c r="N73" s="27" t="n">
        <v>38118.32</v>
      </c>
    </row>
    <row r="74" customFormat="false" ht="15" hidden="false" customHeight="false" outlineLevel="0" collapsed="false">
      <c r="A74" s="6" t="s">
        <v>392</v>
      </c>
      <c r="B74" s="6" t="s">
        <v>361</v>
      </c>
      <c r="C74" s="6" t="s">
        <v>246</v>
      </c>
      <c r="D74" s="6" t="s">
        <v>215</v>
      </c>
      <c r="E74" s="6" t="s">
        <v>219</v>
      </c>
      <c r="F74" s="6" t="s">
        <v>356</v>
      </c>
      <c r="G74" s="6" t="str">
        <f aca="false">LEFT(F74,1)</f>
        <v>4</v>
      </c>
      <c r="H74" s="6" t="str">
        <f aca="false">LEFT(F74,2)</f>
        <v>42</v>
      </c>
      <c r="I74" s="6" t="str">
        <f aca="false">LEFT(F74,3)</f>
        <v>424</v>
      </c>
      <c r="J74" s="6" t="str">
        <f aca="false">LEFT(F74,4)</f>
        <v>4241</v>
      </c>
      <c r="K74" s="7" t="s">
        <v>363</v>
      </c>
      <c r="L74" s="27" t="n">
        <v>37000</v>
      </c>
      <c r="M74" s="27" t="n">
        <v>37555</v>
      </c>
      <c r="N74" s="27" t="n">
        <v>38118.32</v>
      </c>
    </row>
    <row r="75" customFormat="false" ht="15" hidden="false" customHeight="false" outlineLevel="0" collapsed="false">
      <c r="A75" s="6" t="s">
        <v>392</v>
      </c>
      <c r="B75" s="6" t="s">
        <v>364</v>
      </c>
      <c r="C75" s="6" t="s">
        <v>244</v>
      </c>
      <c r="D75" s="6" t="s">
        <v>215</v>
      </c>
      <c r="E75" s="6" t="s">
        <v>225</v>
      </c>
      <c r="F75" s="6" t="s">
        <v>342</v>
      </c>
      <c r="G75" s="6" t="str">
        <f aca="false">LEFT(F75,1)</f>
        <v>3</v>
      </c>
      <c r="H75" s="6" t="str">
        <f aca="false">LEFT(F75,2)</f>
        <v>32</v>
      </c>
      <c r="I75" s="6" t="str">
        <f aca="false">LEFT(F75,3)</f>
        <v>322</v>
      </c>
      <c r="J75" s="6" t="str">
        <f aca="false">LEFT(F75,4)</f>
        <v>3222</v>
      </c>
      <c r="K75" s="7" t="s">
        <v>343</v>
      </c>
      <c r="L75" s="27" t="n">
        <v>120000</v>
      </c>
      <c r="M75" s="27" t="n">
        <v>121800</v>
      </c>
      <c r="N75" s="27" t="n">
        <v>123627</v>
      </c>
    </row>
    <row r="76" customFormat="false" ht="15" hidden="false" customHeight="false" outlineLevel="0" collapsed="false">
      <c r="A76" s="6" t="s">
        <v>392</v>
      </c>
      <c r="B76" s="6" t="s">
        <v>368</v>
      </c>
      <c r="C76" s="6" t="s">
        <v>244</v>
      </c>
      <c r="D76" s="6" t="s">
        <v>215</v>
      </c>
      <c r="E76" s="6" t="s">
        <v>227</v>
      </c>
      <c r="F76" s="6" t="s">
        <v>372</v>
      </c>
      <c r="G76" s="6" t="str">
        <f aca="false">LEFT(F76,1)</f>
        <v>3</v>
      </c>
      <c r="H76" s="6" t="str">
        <f aca="false">LEFT(F76,2)</f>
        <v>38</v>
      </c>
      <c r="I76" s="6" t="str">
        <f aca="false">LEFT(F76,3)</f>
        <v>381</v>
      </c>
      <c r="J76" s="6" t="str">
        <f aca="false">LEFT(F76,4)</f>
        <v>3812</v>
      </c>
      <c r="K76" s="7" t="s">
        <v>373</v>
      </c>
      <c r="L76" s="27" t="n">
        <v>1360</v>
      </c>
      <c r="M76" s="27" t="n">
        <v>1380.4</v>
      </c>
      <c r="N76" s="27" t="n">
        <v>1401.11</v>
      </c>
    </row>
    <row r="77" customFormat="false" ht="15" hidden="false" customHeight="false" outlineLevel="0" collapsed="false">
      <c r="A77" s="6" t="s">
        <v>393</v>
      </c>
      <c r="B77" s="6" t="s">
        <v>376</v>
      </c>
      <c r="C77" s="6" t="s">
        <v>244</v>
      </c>
      <c r="D77" s="6" t="s">
        <v>201</v>
      </c>
      <c r="E77" s="6" t="s">
        <v>203</v>
      </c>
      <c r="F77" s="6" t="s">
        <v>307</v>
      </c>
      <c r="G77" s="6" t="str">
        <f aca="false">LEFT(F77,1)</f>
        <v>3</v>
      </c>
      <c r="H77" s="6" t="str">
        <f aca="false">LEFT(F77,2)</f>
        <v>31</v>
      </c>
      <c r="I77" s="6" t="str">
        <f aca="false">LEFT(F77,3)</f>
        <v>311</v>
      </c>
      <c r="J77" s="6" t="str">
        <f aca="false">LEFT(F77,4)</f>
        <v>3111</v>
      </c>
      <c r="K77" s="7" t="s">
        <v>93</v>
      </c>
      <c r="L77" s="27" t="n">
        <v>25000</v>
      </c>
      <c r="M77" s="27" t="n">
        <v>25375</v>
      </c>
      <c r="N77" s="27" t="n">
        <v>25755.62</v>
      </c>
    </row>
    <row r="78" customFormat="false" ht="15" hidden="false" customHeight="false" outlineLevel="0" collapsed="false">
      <c r="A78" s="6" t="s">
        <v>393</v>
      </c>
      <c r="B78" s="6" t="s">
        <v>376</v>
      </c>
      <c r="C78" s="6" t="s">
        <v>244</v>
      </c>
      <c r="D78" s="6" t="s">
        <v>201</v>
      </c>
      <c r="E78" s="6" t="s">
        <v>203</v>
      </c>
      <c r="F78" s="6" t="s">
        <v>340</v>
      </c>
      <c r="G78" s="6" t="str">
        <f aca="false">LEFT(F78,1)</f>
        <v>3</v>
      </c>
      <c r="H78" s="6" t="str">
        <f aca="false">LEFT(F78,2)</f>
        <v>31</v>
      </c>
      <c r="I78" s="6" t="str">
        <f aca="false">LEFT(F78,3)</f>
        <v>312</v>
      </c>
      <c r="J78" s="6" t="str">
        <f aca="false">LEFT(F78,4)</f>
        <v>3121</v>
      </c>
      <c r="K78" s="7" t="s">
        <v>341</v>
      </c>
      <c r="L78" s="27" t="n">
        <v>10000</v>
      </c>
      <c r="M78" s="27" t="n">
        <v>10150</v>
      </c>
      <c r="N78" s="27" t="n">
        <v>10302.25</v>
      </c>
    </row>
    <row r="79" customFormat="false" ht="15" hidden="false" customHeight="false" outlineLevel="0" collapsed="false">
      <c r="A79" s="6" t="s">
        <v>393</v>
      </c>
      <c r="B79" s="6" t="s">
        <v>376</v>
      </c>
      <c r="C79" s="6" t="s">
        <v>244</v>
      </c>
      <c r="D79" s="6" t="s">
        <v>201</v>
      </c>
      <c r="E79" s="6" t="s">
        <v>203</v>
      </c>
      <c r="F79" s="6" t="s">
        <v>308</v>
      </c>
      <c r="G79" s="6" t="str">
        <f aca="false">LEFT(F79,1)</f>
        <v>3</v>
      </c>
      <c r="H79" s="6" t="str">
        <f aca="false">LEFT(F79,2)</f>
        <v>31</v>
      </c>
      <c r="I79" s="6" t="str">
        <f aca="false">LEFT(F79,3)</f>
        <v>313</v>
      </c>
      <c r="J79" s="6" t="str">
        <f aca="false">LEFT(F79,4)</f>
        <v>3132</v>
      </c>
      <c r="K79" s="7" t="s">
        <v>309</v>
      </c>
      <c r="L79" s="27" t="n">
        <v>10000</v>
      </c>
      <c r="M79" s="27" t="n">
        <v>10150</v>
      </c>
      <c r="N79" s="27" t="n">
        <v>10302.25</v>
      </c>
    </row>
    <row r="80" customFormat="false" ht="15" hidden="false" customHeight="false" outlineLevel="0" collapsed="false">
      <c r="A80" s="6" t="s">
        <v>393</v>
      </c>
      <c r="B80" s="6" t="s">
        <v>376</v>
      </c>
      <c r="C80" s="6" t="s">
        <v>244</v>
      </c>
      <c r="D80" s="6" t="s">
        <v>201</v>
      </c>
      <c r="E80" s="6" t="s">
        <v>203</v>
      </c>
      <c r="F80" s="6" t="s">
        <v>310</v>
      </c>
      <c r="G80" s="6" t="str">
        <f aca="false">LEFT(F80,1)</f>
        <v>3</v>
      </c>
      <c r="H80" s="6" t="str">
        <f aca="false">LEFT(F80,2)</f>
        <v>32</v>
      </c>
      <c r="I80" s="6" t="str">
        <f aca="false">LEFT(F80,3)</f>
        <v>321</v>
      </c>
      <c r="J80" s="6" t="str">
        <f aca="false">LEFT(F80,4)</f>
        <v>3212</v>
      </c>
      <c r="K80" s="7" t="s">
        <v>311</v>
      </c>
      <c r="L80" s="27" t="n">
        <v>10000</v>
      </c>
      <c r="M80" s="27" t="n">
        <v>10150</v>
      </c>
      <c r="N80" s="27" t="n">
        <v>10302.25</v>
      </c>
    </row>
    <row r="81" customFormat="false" ht="15" hidden="false" customHeight="false" outlineLevel="0" collapsed="false">
      <c r="A81" s="6" t="s">
        <v>393</v>
      </c>
      <c r="B81" s="6" t="s">
        <v>376</v>
      </c>
      <c r="C81" s="6" t="s">
        <v>244</v>
      </c>
      <c r="D81" s="6" t="s">
        <v>215</v>
      </c>
      <c r="E81" s="6" t="s">
        <v>223</v>
      </c>
      <c r="F81" s="6" t="s">
        <v>307</v>
      </c>
      <c r="G81" s="6" t="str">
        <f aca="false">LEFT(F81,1)</f>
        <v>3</v>
      </c>
      <c r="H81" s="6" t="str">
        <f aca="false">LEFT(F81,2)</f>
        <v>31</v>
      </c>
      <c r="I81" s="6" t="str">
        <f aca="false">LEFT(F81,3)</f>
        <v>311</v>
      </c>
      <c r="J81" s="6" t="str">
        <f aca="false">LEFT(F81,4)</f>
        <v>3111</v>
      </c>
      <c r="K81" s="7" t="s">
        <v>93</v>
      </c>
      <c r="L81" s="27" t="n">
        <v>9000</v>
      </c>
      <c r="M81" s="27" t="n">
        <v>9135</v>
      </c>
      <c r="N81" s="27" t="n">
        <v>9272.03</v>
      </c>
    </row>
    <row r="82" customFormat="false" ht="15" hidden="false" customHeight="false" outlineLevel="0" collapsed="false">
      <c r="A82" s="6" t="s">
        <v>393</v>
      </c>
      <c r="B82" s="6" t="s">
        <v>376</v>
      </c>
      <c r="C82" s="6" t="s">
        <v>244</v>
      </c>
      <c r="D82" s="6" t="s">
        <v>215</v>
      </c>
      <c r="E82" s="6" t="s">
        <v>223</v>
      </c>
      <c r="F82" s="6" t="s">
        <v>308</v>
      </c>
      <c r="G82" s="6" t="str">
        <f aca="false">LEFT(F82,1)</f>
        <v>3</v>
      </c>
      <c r="H82" s="6" t="str">
        <f aca="false">LEFT(F82,2)</f>
        <v>31</v>
      </c>
      <c r="I82" s="6" t="str">
        <f aca="false">LEFT(F82,3)</f>
        <v>313</v>
      </c>
      <c r="J82" s="6" t="str">
        <f aca="false">LEFT(F82,4)</f>
        <v>3132</v>
      </c>
      <c r="K82" s="7" t="s">
        <v>309</v>
      </c>
      <c r="L82" s="27" t="n">
        <v>7000</v>
      </c>
      <c r="M82" s="27" t="n">
        <v>7105</v>
      </c>
      <c r="N82" s="27" t="n">
        <v>7211.57</v>
      </c>
    </row>
    <row r="83" customFormat="false" ht="15" hidden="false" customHeight="false" outlineLevel="0" collapsed="false">
      <c r="A83" s="6" t="s">
        <v>393</v>
      </c>
      <c r="B83" s="6" t="s">
        <v>376</v>
      </c>
      <c r="C83" s="6" t="s">
        <v>244</v>
      </c>
      <c r="D83" s="6" t="s">
        <v>232</v>
      </c>
      <c r="E83" s="6" t="s">
        <v>234</v>
      </c>
      <c r="F83" s="6" t="s">
        <v>307</v>
      </c>
      <c r="G83" s="6" t="str">
        <f aca="false">LEFT(F83,1)</f>
        <v>3</v>
      </c>
      <c r="H83" s="6" t="str">
        <f aca="false">LEFT(F83,2)</f>
        <v>31</v>
      </c>
      <c r="I83" s="6" t="str">
        <f aca="false">LEFT(F83,3)</f>
        <v>311</v>
      </c>
      <c r="J83" s="6" t="str">
        <f aca="false">LEFT(F83,4)</f>
        <v>3111</v>
      </c>
      <c r="K83" s="7" t="s">
        <v>93</v>
      </c>
      <c r="L83" s="27" t="n">
        <v>17500</v>
      </c>
      <c r="M83" s="27" t="n">
        <v>17762.5</v>
      </c>
      <c r="N83" s="27" t="n">
        <v>18028.94</v>
      </c>
    </row>
    <row r="84" customFormat="false" ht="15" hidden="false" customHeight="false" outlineLevel="0" collapsed="false">
      <c r="A84" s="6" t="s">
        <v>393</v>
      </c>
      <c r="B84" s="6" t="s">
        <v>376</v>
      </c>
      <c r="C84" s="6" t="s">
        <v>244</v>
      </c>
      <c r="D84" s="6" t="s">
        <v>232</v>
      </c>
      <c r="E84" s="6" t="s">
        <v>234</v>
      </c>
      <c r="F84" s="6" t="s">
        <v>340</v>
      </c>
      <c r="G84" s="6" t="str">
        <f aca="false">LEFT(F84,1)</f>
        <v>3</v>
      </c>
      <c r="H84" s="6" t="str">
        <f aca="false">LEFT(F84,2)</f>
        <v>31</v>
      </c>
      <c r="I84" s="6" t="str">
        <f aca="false">LEFT(F84,3)</f>
        <v>312</v>
      </c>
      <c r="J84" s="6" t="str">
        <f aca="false">LEFT(F84,4)</f>
        <v>3121</v>
      </c>
      <c r="K84" s="7" t="s">
        <v>341</v>
      </c>
      <c r="L84" s="27" t="n">
        <v>17000</v>
      </c>
      <c r="M84" s="27" t="n">
        <v>17255</v>
      </c>
      <c r="N84" s="27" t="n">
        <v>17513.82</v>
      </c>
    </row>
    <row r="85" customFormat="false" ht="15" hidden="false" customHeight="false" outlineLevel="0" collapsed="false">
      <c r="A85" s="6" t="s">
        <v>393</v>
      </c>
      <c r="B85" s="6" t="s">
        <v>376</v>
      </c>
      <c r="C85" s="6" t="s">
        <v>244</v>
      </c>
      <c r="D85" s="6" t="s">
        <v>232</v>
      </c>
      <c r="E85" s="6" t="s">
        <v>234</v>
      </c>
      <c r="F85" s="6" t="s">
        <v>308</v>
      </c>
      <c r="G85" s="6" t="str">
        <f aca="false">LEFT(F85,1)</f>
        <v>3</v>
      </c>
      <c r="H85" s="6" t="str">
        <f aca="false">LEFT(F85,2)</f>
        <v>31</v>
      </c>
      <c r="I85" s="6" t="str">
        <f aca="false">LEFT(F85,3)</f>
        <v>313</v>
      </c>
      <c r="J85" s="6" t="str">
        <f aca="false">LEFT(F85,4)</f>
        <v>3132</v>
      </c>
      <c r="K85" s="7" t="s">
        <v>309</v>
      </c>
      <c r="L85" s="27" t="n">
        <v>2000</v>
      </c>
      <c r="M85" s="27" t="n">
        <v>2030</v>
      </c>
      <c r="N85" s="27" t="n">
        <v>2060.45</v>
      </c>
    </row>
    <row r="86" customFormat="false" ht="15" hidden="false" customHeight="false" outlineLevel="0" collapsed="false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7" t="s">
        <v>196</v>
      </c>
      <c r="L86" s="18" t="n">
        <f aca="false">SUM(L10:L85)</f>
        <v>3371758.34</v>
      </c>
      <c r="M86" s="18" t="n">
        <f aca="false">SUM(M10:M85)</f>
        <v>3422334.71</v>
      </c>
      <c r="N86" s="18" t="n">
        <f aca="false">SUM(N10:N85)</f>
        <v>3473578.56</v>
      </c>
    </row>
  </sheetData>
  <mergeCells count="2">
    <mergeCell ref="A6:N6"/>
    <mergeCell ref="A7:N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9" ySplit="9" topLeftCell="J10" activePane="bottomRight" state="frozen"/>
      <selection pane="topLeft" activeCell="A1" activeCellId="0" sqref="A1"/>
      <selection pane="topRight" activeCell="J1" activeCellId="0" sqref="J1"/>
      <selection pane="bottomLeft" activeCell="A10" activeCellId="0" sqref="A10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3" min="2" style="0" width="6"/>
    <col collapsed="false" customWidth="true" hidden="false" outlineLevel="0" max="6" min="4" style="0" width="8"/>
    <col collapsed="false" customWidth="true" hidden="false" outlineLevel="0" max="7" min="7" style="0" width="9"/>
    <col collapsed="false" customWidth="true" hidden="false" outlineLevel="0" max="8" min="8" style="0" width="30"/>
    <col collapsed="false" customWidth="true" hidden="false" outlineLevel="0" max="9" min="9" style="0" width="44"/>
    <col collapsed="false" customWidth="true" hidden="false" outlineLevel="0" max="12" min="10" style="0" width="15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2" t="s">
        <v>3</v>
      </c>
    </row>
    <row r="6" customFormat="false" ht="31.5" hidden="false" customHeight="true" outlineLevel="0" collapsed="false">
      <c r="A6" s="3" t="s">
        <v>394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customFormat="false" ht="15" hidden="false" customHeight="false" outlineLevel="0" collapsed="false">
      <c r="A7" s="4" t="s">
        <v>395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9" customFormat="false" ht="30" hidden="false" customHeight="true" outlineLevel="0" collapsed="false">
      <c r="A9" s="5" t="s">
        <v>396</v>
      </c>
      <c r="B9" s="5" t="s">
        <v>387</v>
      </c>
      <c r="C9" s="5" t="s">
        <v>388</v>
      </c>
      <c r="D9" s="5" t="s">
        <v>389</v>
      </c>
      <c r="E9" s="5" t="s">
        <v>390</v>
      </c>
      <c r="F9" s="5" t="s">
        <v>386</v>
      </c>
      <c r="G9" s="5" t="s">
        <v>199</v>
      </c>
      <c r="H9" s="5" t="s">
        <v>397</v>
      </c>
      <c r="I9" s="5" t="s">
        <v>7</v>
      </c>
      <c r="J9" s="5" t="s">
        <v>8</v>
      </c>
      <c r="K9" s="5" t="s">
        <v>9</v>
      </c>
      <c r="L9" s="5" t="s">
        <v>10</v>
      </c>
    </row>
    <row r="10" customFormat="false" ht="15" hidden="false" customHeight="false" outlineLevel="0" collapsed="false">
      <c r="A10" s="6" t="s">
        <v>398</v>
      </c>
      <c r="B10" s="6" t="str">
        <f aca="false">LEFT(A10,1)</f>
        <v>6</v>
      </c>
      <c r="C10" s="6" t="str">
        <f aca="false">LEFT(A10,2)</f>
        <v>63</v>
      </c>
      <c r="D10" s="6" t="str">
        <f aca="false">LEFT(A10,3)</f>
        <v>636</v>
      </c>
      <c r="E10" s="6" t="str">
        <f aca="false">LEFT(A10,4)</f>
        <v>6361</v>
      </c>
      <c r="F10" s="6" t="s">
        <v>215</v>
      </c>
      <c r="G10" s="6" t="s">
        <v>217</v>
      </c>
      <c r="H10" s="6" t="s">
        <v>349</v>
      </c>
      <c r="I10" s="7" t="s">
        <v>399</v>
      </c>
      <c r="J10" s="27" t="n">
        <v>6000</v>
      </c>
      <c r="K10" s="27" t="n">
        <v>6090</v>
      </c>
      <c r="L10" s="27" t="n">
        <v>6181.34</v>
      </c>
    </row>
    <row r="11" customFormat="false" ht="15" hidden="false" customHeight="false" outlineLevel="0" collapsed="false">
      <c r="A11" s="6" t="s">
        <v>400</v>
      </c>
      <c r="B11" s="6" t="str">
        <f aca="false">LEFT(A11,1)</f>
        <v>6</v>
      </c>
      <c r="C11" s="6" t="str">
        <f aca="false">LEFT(A11,2)</f>
        <v>63</v>
      </c>
      <c r="D11" s="6" t="str">
        <f aca="false">LEFT(A11,3)</f>
        <v>636</v>
      </c>
      <c r="E11" s="6" t="str">
        <f aca="false">LEFT(A11,4)</f>
        <v>6361</v>
      </c>
      <c r="F11" s="6" t="s">
        <v>215</v>
      </c>
      <c r="G11" s="6" t="s">
        <v>221</v>
      </c>
      <c r="H11" s="6" t="s">
        <v>306</v>
      </c>
      <c r="I11" s="7" t="s">
        <v>401</v>
      </c>
      <c r="J11" s="27" t="n">
        <v>2498500</v>
      </c>
      <c r="K11" s="27" t="n">
        <v>2535977.5</v>
      </c>
      <c r="L11" s="27" t="n">
        <v>2574017.15</v>
      </c>
    </row>
    <row r="12" customFormat="false" ht="15" hidden="false" customHeight="false" outlineLevel="0" collapsed="false">
      <c r="A12" s="6" t="s">
        <v>402</v>
      </c>
      <c r="B12" s="6" t="str">
        <f aca="false">LEFT(A12,1)</f>
        <v>6</v>
      </c>
      <c r="C12" s="6" t="str">
        <f aca="false">LEFT(A12,2)</f>
        <v>63</v>
      </c>
      <c r="D12" s="6" t="str">
        <f aca="false">LEFT(A12,3)</f>
        <v>636</v>
      </c>
      <c r="E12" s="6" t="str">
        <f aca="false">LEFT(A12,4)</f>
        <v>6361</v>
      </c>
      <c r="F12" s="6" t="s">
        <v>215</v>
      </c>
      <c r="G12" s="6" t="s">
        <v>225</v>
      </c>
      <c r="H12" s="6" t="s">
        <v>367</v>
      </c>
      <c r="I12" s="7" t="s">
        <v>367</v>
      </c>
      <c r="J12" s="27" t="n">
        <v>120000</v>
      </c>
      <c r="K12" s="27" t="n">
        <v>121800</v>
      </c>
      <c r="L12" s="27" t="n">
        <v>123627</v>
      </c>
    </row>
    <row r="13" customFormat="false" ht="15" hidden="false" customHeight="false" outlineLevel="0" collapsed="false">
      <c r="A13" s="6" t="s">
        <v>403</v>
      </c>
      <c r="B13" s="6" t="str">
        <f aca="false">LEFT(A13,1)</f>
        <v>6</v>
      </c>
      <c r="C13" s="6" t="str">
        <f aca="false">LEFT(A13,2)</f>
        <v>63</v>
      </c>
      <c r="D13" s="6" t="str">
        <f aca="false">LEFT(A13,3)</f>
        <v>636</v>
      </c>
      <c r="E13" s="6" t="str">
        <f aca="false">LEFT(A13,4)</f>
        <v>6361</v>
      </c>
      <c r="F13" s="6" t="s">
        <v>215</v>
      </c>
      <c r="G13" s="6" t="s">
        <v>227</v>
      </c>
      <c r="H13" s="6" t="s">
        <v>371</v>
      </c>
      <c r="I13" s="7" t="s">
        <v>404</v>
      </c>
      <c r="J13" s="27" t="n">
        <v>1360</v>
      </c>
      <c r="K13" s="27" t="n">
        <v>1380.4</v>
      </c>
      <c r="L13" s="27" t="n">
        <v>1401.11</v>
      </c>
    </row>
    <row r="14" customFormat="false" ht="15" hidden="false" customHeight="false" outlineLevel="0" collapsed="false">
      <c r="A14" s="6" t="s">
        <v>405</v>
      </c>
      <c r="B14" s="6" t="str">
        <f aca="false">LEFT(A14,1)</f>
        <v>6</v>
      </c>
      <c r="C14" s="6" t="str">
        <f aca="false">LEFT(A14,2)</f>
        <v>63</v>
      </c>
      <c r="D14" s="6" t="str">
        <f aca="false">LEFT(A14,3)</f>
        <v>636</v>
      </c>
      <c r="E14" s="6" t="str">
        <f aca="false">LEFT(A14,4)</f>
        <v>6361</v>
      </c>
      <c r="F14" s="6" t="s">
        <v>229</v>
      </c>
      <c r="G14" s="6" t="s">
        <v>229</v>
      </c>
      <c r="H14" s="6" t="s">
        <v>358</v>
      </c>
      <c r="I14" s="7" t="s">
        <v>406</v>
      </c>
      <c r="J14" s="27" t="n">
        <v>66000</v>
      </c>
      <c r="K14" s="27" t="n">
        <v>66990</v>
      </c>
      <c r="L14" s="27" t="n">
        <v>67994.85</v>
      </c>
    </row>
    <row r="15" customFormat="false" ht="15" hidden="false" customHeight="false" outlineLevel="0" collapsed="false">
      <c r="A15" s="6" t="s">
        <v>407</v>
      </c>
      <c r="B15" s="6" t="str">
        <f aca="false">LEFT(A15,1)</f>
        <v>6</v>
      </c>
      <c r="C15" s="6" t="str">
        <f aca="false">LEFT(A15,2)</f>
        <v>63</v>
      </c>
      <c r="D15" s="6" t="str">
        <f aca="false">LEFT(A15,3)</f>
        <v>636</v>
      </c>
      <c r="E15" s="6" t="str">
        <f aca="false">LEFT(A15,4)</f>
        <v>6362</v>
      </c>
      <c r="F15" s="6" t="s">
        <v>215</v>
      </c>
      <c r="G15" s="6" t="s">
        <v>219</v>
      </c>
      <c r="H15" s="6" t="s">
        <v>355</v>
      </c>
      <c r="I15" s="7" t="s">
        <v>408</v>
      </c>
      <c r="J15" s="27" t="n">
        <v>38000</v>
      </c>
      <c r="K15" s="27" t="n">
        <v>38570</v>
      </c>
      <c r="L15" s="27" t="n">
        <v>39148.55</v>
      </c>
    </row>
    <row r="16" customFormat="false" ht="15" hidden="false" customHeight="false" outlineLevel="0" collapsed="false">
      <c r="A16" s="6" t="s">
        <v>409</v>
      </c>
      <c r="B16" s="6" t="str">
        <f aca="false">LEFT(A16,1)</f>
        <v>6</v>
      </c>
      <c r="C16" s="6" t="str">
        <f aca="false">LEFT(A16,2)</f>
        <v>63</v>
      </c>
      <c r="D16" s="6" t="str">
        <f aca="false">LEFT(A16,3)</f>
        <v>639</v>
      </c>
      <c r="E16" s="6" t="str">
        <f aca="false">LEFT(A16,4)</f>
        <v>6391</v>
      </c>
      <c r="F16" s="6" t="s">
        <v>215</v>
      </c>
      <c r="G16" s="6" t="s">
        <v>223</v>
      </c>
      <c r="H16" s="6" t="s">
        <v>379</v>
      </c>
      <c r="I16" s="7" t="s">
        <v>410</v>
      </c>
      <c r="J16" s="27" t="n">
        <v>16000</v>
      </c>
      <c r="K16" s="27" t="n">
        <v>16240</v>
      </c>
      <c r="L16" s="27" t="n">
        <v>16483.6</v>
      </c>
    </row>
    <row r="17" customFormat="false" ht="23.85" hidden="false" customHeight="false" outlineLevel="0" collapsed="false">
      <c r="A17" s="6" t="s">
        <v>411</v>
      </c>
      <c r="B17" s="6" t="str">
        <f aca="false">LEFT(A17,1)</f>
        <v>6</v>
      </c>
      <c r="C17" s="6" t="str">
        <f aca="false">LEFT(A17,2)</f>
        <v>63</v>
      </c>
      <c r="D17" s="6" t="str">
        <f aca="false">LEFT(A17,3)</f>
        <v>639</v>
      </c>
      <c r="E17" s="6" t="str">
        <f aca="false">LEFT(A17,4)</f>
        <v>6393</v>
      </c>
      <c r="F17" s="6" t="s">
        <v>232</v>
      </c>
      <c r="G17" s="6" t="s">
        <v>234</v>
      </c>
      <c r="H17" s="6" t="s">
        <v>381</v>
      </c>
      <c r="I17" s="7" t="s">
        <v>412</v>
      </c>
      <c r="J17" s="27" t="n">
        <v>36500</v>
      </c>
      <c r="K17" s="27" t="n">
        <v>37047.5</v>
      </c>
      <c r="L17" s="27" t="n">
        <v>37603.21</v>
      </c>
    </row>
    <row r="18" customFormat="false" ht="15" hidden="false" customHeight="false" outlineLevel="0" collapsed="false">
      <c r="A18" s="6" t="s">
        <v>413</v>
      </c>
      <c r="B18" s="6" t="str">
        <f aca="false">LEFT(A18,1)</f>
        <v>6</v>
      </c>
      <c r="C18" s="6" t="str">
        <f aca="false">LEFT(A18,2)</f>
        <v>65</v>
      </c>
      <c r="D18" s="6" t="str">
        <f aca="false">LEFT(A18,3)</f>
        <v>652</v>
      </c>
      <c r="E18" s="6" t="str">
        <f aca="false">LEFT(A18,4)</f>
        <v>6526</v>
      </c>
      <c r="F18" s="6" t="s">
        <v>207</v>
      </c>
      <c r="G18" s="6" t="s">
        <v>207</v>
      </c>
      <c r="H18" s="6" t="s">
        <v>208</v>
      </c>
      <c r="I18" s="7" t="s">
        <v>414</v>
      </c>
      <c r="J18" s="27" t="n">
        <v>23300</v>
      </c>
      <c r="K18" s="27" t="n">
        <v>23649.5</v>
      </c>
      <c r="L18" s="27" t="n">
        <v>24004.24</v>
      </c>
    </row>
    <row r="19" customFormat="false" ht="15" hidden="false" customHeight="false" outlineLevel="0" collapsed="false">
      <c r="A19" s="6" t="s">
        <v>415</v>
      </c>
      <c r="B19" s="6" t="str">
        <f aca="false">LEFT(A19,1)</f>
        <v>6</v>
      </c>
      <c r="C19" s="6" t="str">
        <f aca="false">LEFT(A19,2)</f>
        <v>66</v>
      </c>
      <c r="D19" s="6" t="str">
        <f aca="false">LEFT(A19,3)</f>
        <v>661</v>
      </c>
      <c r="E19" s="6" t="str">
        <f aca="false">LEFT(A19,4)</f>
        <v>6615</v>
      </c>
      <c r="F19" s="6" t="s">
        <v>88</v>
      </c>
      <c r="G19" s="6" t="s">
        <v>88</v>
      </c>
      <c r="H19" s="6" t="s">
        <v>324</v>
      </c>
      <c r="I19" s="7" t="s">
        <v>416</v>
      </c>
      <c r="J19" s="27" t="n">
        <v>28800</v>
      </c>
      <c r="K19" s="27" t="n">
        <v>29232</v>
      </c>
      <c r="L19" s="27" t="n">
        <v>29670.48</v>
      </c>
    </row>
    <row r="20" customFormat="false" ht="23.85" hidden="false" customHeight="false" outlineLevel="0" collapsed="false">
      <c r="A20" s="6" t="s">
        <v>417</v>
      </c>
      <c r="B20" s="6" t="str">
        <f aca="false">LEFT(A20,1)</f>
        <v>6</v>
      </c>
      <c r="C20" s="6" t="str">
        <f aca="false">LEFT(A20,2)</f>
        <v>67</v>
      </c>
      <c r="D20" s="6" t="str">
        <f aca="false">LEFT(A20,3)</f>
        <v>671</v>
      </c>
      <c r="E20" s="6" t="str">
        <f aca="false">LEFT(A20,4)</f>
        <v>6711</v>
      </c>
      <c r="F20" s="6" t="s">
        <v>191</v>
      </c>
      <c r="G20" s="6" t="s">
        <v>193</v>
      </c>
      <c r="H20" s="6" t="s">
        <v>256</v>
      </c>
      <c r="I20" s="7" t="s">
        <v>418</v>
      </c>
      <c r="J20" s="27" t="n">
        <v>405161</v>
      </c>
      <c r="K20" s="27" t="n">
        <v>411238.41</v>
      </c>
      <c r="L20" s="27" t="n">
        <v>417315.83</v>
      </c>
    </row>
    <row r="21" customFormat="false" ht="15" hidden="false" customHeight="false" outlineLevel="0" collapsed="false">
      <c r="A21" s="6" t="s">
        <v>419</v>
      </c>
      <c r="B21" s="6" t="str">
        <f aca="false">LEFT(A21,1)</f>
        <v>6</v>
      </c>
      <c r="C21" s="6" t="str">
        <f aca="false">LEFT(A21,2)</f>
        <v>67</v>
      </c>
      <c r="D21" s="6" t="str">
        <f aca="false">LEFT(A21,3)</f>
        <v>671</v>
      </c>
      <c r="E21" s="6" t="str">
        <f aca="false">LEFT(A21,4)</f>
        <v>6711</v>
      </c>
      <c r="F21" s="6" t="s">
        <v>201</v>
      </c>
      <c r="G21" s="6" t="s">
        <v>203</v>
      </c>
      <c r="H21" s="6" t="s">
        <v>319</v>
      </c>
      <c r="I21" s="7" t="s">
        <v>420</v>
      </c>
      <c r="J21" s="27" t="n">
        <v>70270.01</v>
      </c>
      <c r="K21" s="27" t="n">
        <v>71324.06</v>
      </c>
      <c r="L21" s="27" t="n">
        <v>72393.92</v>
      </c>
    </row>
    <row r="22" customFormat="false" ht="15" hidden="false" customHeight="false" outlineLevel="0" collapsed="false">
      <c r="A22" s="6" t="s">
        <v>421</v>
      </c>
      <c r="B22" s="6" t="str">
        <f aca="false">LEFT(A22,1)</f>
        <v>9</v>
      </c>
      <c r="C22" s="6" t="str">
        <f aca="false">LEFT(A22,2)</f>
        <v>92</v>
      </c>
      <c r="D22" s="6" t="str">
        <f aca="false">LEFT(A22,3)</f>
        <v>922</v>
      </c>
      <c r="E22" s="6" t="str">
        <f aca="false">LEFT(A22,4)</f>
        <v>9221</v>
      </c>
      <c r="F22" s="6" t="s">
        <v>175</v>
      </c>
      <c r="G22" s="6" t="s">
        <v>211</v>
      </c>
      <c r="H22" s="6" t="s">
        <v>345</v>
      </c>
      <c r="I22" s="7" t="s">
        <v>210</v>
      </c>
      <c r="J22" s="27" t="n">
        <v>61867.33</v>
      </c>
      <c r="K22" s="27" t="n">
        <v>62795.34</v>
      </c>
      <c r="L22" s="27" t="n">
        <v>63737.28</v>
      </c>
    </row>
    <row r="23" customFormat="false" ht="15" hidden="false" customHeight="false" outlineLevel="0" collapsed="false">
      <c r="A23" s="16"/>
      <c r="B23" s="16"/>
      <c r="C23" s="16"/>
      <c r="D23" s="16"/>
      <c r="E23" s="16"/>
      <c r="F23" s="16"/>
      <c r="G23" s="16"/>
      <c r="H23" s="16"/>
      <c r="I23" s="17" t="s">
        <v>236</v>
      </c>
      <c r="J23" s="18" t="n">
        <f aca="false">SUM(J10:J22)</f>
        <v>3371758.34</v>
      </c>
      <c r="K23" s="18" t="n">
        <f aca="false">SUM(K10:K22)</f>
        <v>3422334.71</v>
      </c>
      <c r="L23" s="18" t="n">
        <f aca="false">SUM(L10:L22)</f>
        <v>3473578.56</v>
      </c>
    </row>
  </sheetData>
  <mergeCells count="2">
    <mergeCell ref="A6:L6"/>
    <mergeCell ref="A7:L7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2026-10-27T14:10:35Z</dcterms:created>
  <dc:creator>openpyxl</dc:creator>
  <dc:description/>
  <dc:language>en-US</dc:language>
  <cp:lastModifiedBy/>
  <dcterms:modified xsi:type="dcterms:W3CDTF">2026-10-27T14:10:35Z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